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lysondickey/Model HOA Dropbox/Allyson Dickey/Red Hawk Ranch - Board Materials/Red Hawk Ranch Water Company/Financial/Budgets/"/>
    </mc:Choice>
  </mc:AlternateContent>
  <xr:revisionPtr revIDLastSave="0" documentId="13_ncr:1_{72BA3D79-76A6-BE46-91E1-14768A65F731}" xr6:coauthVersionLast="45" xr6:coauthVersionMax="45" xr10:uidLastSave="{00000000-0000-0000-0000-000000000000}"/>
  <bookViews>
    <workbookView xWindow="0" yWindow="460" windowWidth="28800" windowHeight="17540" xr2:uid="{93BFEBA9-1F58-DA49-9815-90152AE2B167}"/>
  </bookViews>
  <sheets>
    <sheet name="Budget" sheetId="1" r:id="rId1"/>
  </sheets>
  <definedNames>
    <definedName name="_xlnm.Print_Area" localSheetId="0">Budget!$A$1:$F$43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  <c r="R9" i="1"/>
  <c r="P9" i="1"/>
  <c r="R49" i="1" l="1"/>
  <c r="R24" i="1"/>
  <c r="R26" i="1"/>
  <c r="R27" i="1"/>
  <c r="R29" i="1"/>
  <c r="R30" i="1"/>
  <c r="R32" i="1"/>
  <c r="R33" i="1"/>
  <c r="R34" i="1"/>
  <c r="R35" i="1"/>
  <c r="R37" i="1"/>
  <c r="R23" i="1"/>
  <c r="R8" i="1"/>
  <c r="R19" i="1" s="1"/>
  <c r="R14" i="1"/>
  <c r="R11" i="1"/>
  <c r="R10" i="1"/>
  <c r="N48" i="1" l="1"/>
  <c r="P24" i="1"/>
  <c r="P23" i="1"/>
  <c r="P34" i="1"/>
  <c r="P36" i="1" s="1"/>
  <c r="R36" i="1" s="1"/>
  <c r="N56" i="1"/>
  <c r="L35" i="1"/>
  <c r="L34" i="1"/>
  <c r="L23" i="1" s="1"/>
  <c r="N23" i="1" s="1"/>
  <c r="L24" i="1"/>
  <c r="N24" i="1" s="1"/>
  <c r="N59" i="1"/>
  <c r="N58" i="1"/>
  <c r="R58" i="1" s="1"/>
  <c r="N57" i="1"/>
  <c r="R57" i="1" s="1"/>
  <c r="N33" i="1"/>
  <c r="N32" i="1"/>
  <c r="N27" i="1"/>
  <c r="N26" i="1"/>
  <c r="N25" i="1"/>
  <c r="N17" i="1"/>
  <c r="N16" i="1"/>
  <c r="N15" i="1"/>
  <c r="N14" i="1"/>
  <c r="N13" i="1"/>
  <c r="N11" i="1"/>
  <c r="N10" i="1"/>
  <c r="N9" i="1"/>
  <c r="N8" i="1"/>
  <c r="N7" i="1"/>
  <c r="L30" i="1"/>
  <c r="L29" i="1"/>
  <c r="N29" i="1" s="1"/>
  <c r="J35" i="1"/>
  <c r="H35" i="1"/>
  <c r="F35" i="1"/>
  <c r="D35" i="1"/>
  <c r="L36" i="1" l="1"/>
  <c r="R59" i="1"/>
  <c r="N35" i="1"/>
  <c r="N34" i="1"/>
  <c r="P49" i="1"/>
  <c r="L49" i="1"/>
  <c r="J49" i="1"/>
  <c r="H49" i="1"/>
  <c r="F49" i="1"/>
  <c r="D49" i="1"/>
  <c r="J40" i="1"/>
  <c r="J43" i="1" s="1"/>
  <c r="J45" i="1" s="1"/>
  <c r="H40" i="1"/>
  <c r="H43" i="1" s="1"/>
  <c r="H45" i="1" s="1"/>
  <c r="F40" i="1"/>
  <c r="F43" i="1" s="1"/>
  <c r="F45" i="1" s="1"/>
  <c r="D40" i="1"/>
  <c r="D43" i="1" s="1"/>
  <c r="D45" i="1" s="1"/>
  <c r="N49" i="1" l="1"/>
  <c r="F51" i="1"/>
  <c r="H51" i="1"/>
  <c r="D51" i="1"/>
  <c r="J51" i="1"/>
  <c r="P10" i="1"/>
  <c r="P8" i="1"/>
  <c r="P7" i="1"/>
  <c r="L19" i="1" l="1"/>
  <c r="N19" i="1" l="1"/>
  <c r="P19" i="1"/>
  <c r="J19" i="1"/>
  <c r="H19" i="1"/>
  <c r="F19" i="1"/>
  <c r="D19" i="1"/>
  <c r="H30" i="1"/>
  <c r="H36" i="1" s="1"/>
  <c r="J30" i="1"/>
  <c r="J36" i="1" s="1"/>
  <c r="N36" i="1" s="1"/>
  <c r="F30" i="1"/>
  <c r="F36" i="1" s="1"/>
  <c r="D30" i="1"/>
  <c r="D36" i="1" s="1"/>
  <c r="N30" i="1" l="1"/>
  <c r="D38" i="1" l="1"/>
  <c r="D53" i="1" s="1"/>
  <c r="F38" i="1"/>
  <c r="F53" i="1" s="1"/>
  <c r="H38" i="1"/>
  <c r="H53" i="1" s="1"/>
  <c r="J38" i="1"/>
  <c r="L38" i="1"/>
  <c r="L40" i="1" s="1"/>
  <c r="P38" i="1"/>
  <c r="R38" i="1" s="1"/>
  <c r="R40" i="1" s="1"/>
  <c r="R43" i="1" s="1"/>
  <c r="R45" i="1" s="1"/>
  <c r="R51" i="1" s="1"/>
  <c r="R53" i="1" s="1"/>
  <c r="N40" i="1" l="1"/>
  <c r="L43" i="1"/>
  <c r="P40" i="1"/>
  <c r="P43" i="1" s="1"/>
  <c r="P45" i="1" s="1"/>
  <c r="P51" i="1" s="1"/>
  <c r="J53" i="1"/>
  <c r="N38" i="1"/>
  <c r="L45" i="1" l="1"/>
  <c r="N43" i="1"/>
  <c r="P53" i="1"/>
  <c r="N45" i="1" l="1"/>
  <c r="L51" i="1"/>
  <c r="N51" i="1" l="1"/>
  <c r="L53" i="1"/>
  <c r="N53" i="1" s="1"/>
</calcChain>
</file>

<file path=xl/sharedStrings.xml><?xml version="1.0" encoding="utf-8"?>
<sst xmlns="http://schemas.openxmlformats.org/spreadsheetml/2006/main" count="77" uniqueCount="69">
  <si>
    <t>Insurance</t>
  </si>
  <si>
    <t>Interest</t>
  </si>
  <si>
    <t>Red Hawk Ranch Water Company 2021 Budget</t>
  </si>
  <si>
    <t>Water System Reserve</t>
  </si>
  <si>
    <t>Water Shares</t>
  </si>
  <si>
    <t>Water Standby</t>
  </si>
  <si>
    <t>Water Overage</t>
  </si>
  <si>
    <t>Water Connection</t>
  </si>
  <si>
    <t>Late Fees</t>
  </si>
  <si>
    <t>2017 ACTUAL</t>
  </si>
  <si>
    <t>2018 ACTUAL</t>
  </si>
  <si>
    <t>2019 ACTUAL</t>
  </si>
  <si>
    <t>2020 BUDGET</t>
  </si>
  <si>
    <t>2021 BUDGET</t>
  </si>
  <si>
    <t>Water System Capital Improvements</t>
  </si>
  <si>
    <t>Engineering</t>
  </si>
  <si>
    <t>Legal</t>
  </si>
  <si>
    <t>Accounting</t>
  </si>
  <si>
    <t>Administrative (printing, mailing, licenses, supplies)</t>
  </si>
  <si>
    <t>Springs</t>
  </si>
  <si>
    <t>Marasco</t>
  </si>
  <si>
    <t>Cook</t>
  </si>
  <si>
    <t>Vranes</t>
  </si>
  <si>
    <t>Account Collection Fee</t>
  </si>
  <si>
    <t>Finance Charges</t>
  </si>
  <si>
    <t>Water Base Usage</t>
  </si>
  <si>
    <t>Based on actuals</t>
  </si>
  <si>
    <t>OPERATING INCOME</t>
  </si>
  <si>
    <t>Quarterly Fees</t>
  </si>
  <si>
    <t>Other Income</t>
  </si>
  <si>
    <t>RESERVE INCOME</t>
  </si>
  <si>
    <t>OPERATING EXPENSES</t>
  </si>
  <si>
    <t>Professional Fees</t>
  </si>
  <si>
    <t>Administrative Expenses</t>
  </si>
  <si>
    <t>Other Expenses</t>
  </si>
  <si>
    <t>TOTAL OPERATING EXPENSES</t>
  </si>
  <si>
    <t>NET OPERATING SURPLUS / (DEFICIT)</t>
  </si>
  <si>
    <t>Reserve Contribution</t>
  </si>
  <si>
    <t>TOTAL OPERATING  INCOME</t>
  </si>
  <si>
    <t>TOTAL RESERVE INCOME</t>
  </si>
  <si>
    <t>RESERVE EXPENSES</t>
  </si>
  <si>
    <t>TOTAL RESERVE EXPENSES</t>
  </si>
  <si>
    <t>NET RESERVE SURPLUS / (DEFICIT)</t>
  </si>
  <si>
    <t>NET TOTAL SURPLUS / (DEFICIT)</t>
  </si>
  <si>
    <t>2020 YTD Plus Anticipated</t>
  </si>
  <si>
    <t>VARIANCE</t>
  </si>
  <si>
    <t>2022 OUTLOOK</t>
  </si>
  <si>
    <t>Electricity for Wells and Pumps</t>
  </si>
  <si>
    <t>Wratten for 2021</t>
  </si>
  <si>
    <t>Health Department Water Testing</t>
  </si>
  <si>
    <t>Telephone/Cellular Service/Telemetry Support</t>
  </si>
  <si>
    <t>Balance on this note is $0</t>
  </si>
  <si>
    <t>Balance as of 2020 is $2,866.70. Estimating a decrease in 2021 for Wratten hookup</t>
  </si>
  <si>
    <t>Balance as of 2020 is $2,120. Estimating a decrease in 2021 for Wratten hookup</t>
  </si>
  <si>
    <t>Repayment of Water System Construction Notes (these are balance sheet liabilites and should not be on the income statement)</t>
  </si>
  <si>
    <t>Management (Model HOA)</t>
  </si>
  <si>
    <t>Water Operations &amp; Maintenance (TCB)</t>
  </si>
  <si>
    <t>Reserve Account Interest</t>
  </si>
  <si>
    <t xml:space="preserve"> NOTES</t>
  </si>
  <si>
    <t>2021 planned 6 installations of curb boxes / BEACON meters remain (7, 17, 4, 2, 19, 3), $3,333 per lot</t>
  </si>
  <si>
    <t>$128.75 per quarter per lot owner in 2021 (21)</t>
  </si>
  <si>
    <t>$83.75 per quarter per lot owner in 2021 (21)</t>
  </si>
  <si>
    <t>2020 Based on actuals. 2021 based on adjustments of water usage metering dates</t>
  </si>
  <si>
    <t>Per contracted rate ($500/month) plus estimate for other charges</t>
  </si>
  <si>
    <t>2020 higher than budgeted due to overlapping management. 2021 per contracted rate ($850/month)</t>
  </si>
  <si>
    <t>2020 had both 2019 and 2020 charges. Annual expense is $2,912</t>
  </si>
  <si>
    <t>2020 expense for extension of water rights and consultation fees for Richey</t>
  </si>
  <si>
    <t>$25.50 per quarter per non hookups in 2021 (4), 2022 expected (3)</t>
  </si>
  <si>
    <t>$287.50 per quarter per active hookups in 2021 (17), 2022 expected (18)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</si>
</sst>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2"/>
      <color theme="1"/>
      <name val="Calibri"/>
      <family val="2"/>
      <scheme val="minor"/>
    </font>
    <font>
      <b/>
      <sz val="12"/>
      <color rgb="FF323232"/>
      <name val="Arial"/>
      <family val="2"/>
    </font>
    <font>
      <sz val="12"/>
      <color theme="1"/>
      <name val="Calibri"/>
      <family val="2"/>
      <scheme val="minor"/>
    </font>
    <font>
      <sz val="12"/>
      <color rgb="FF32323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0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0" fillId="0" borderId="0" xfId="0" applyFont="1"/>
    <xf numFmtId="0" fontId="0" fillId="0" borderId="0" xfId="0" applyFont="1" applyBorder="1"/>
    <xf numFmtId="49" fontId="1" fillId="0" borderId="3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indent="3"/>
    </xf>
    <xf numFmtId="165" fontId="3" fillId="0" borderId="0" xfId="2" applyNumberFormat="1" applyFont="1"/>
    <xf numFmtId="164" fontId="3" fillId="0" borderId="0" xfId="1" applyNumberFormat="1" applyFont="1"/>
    <xf numFmtId="165" fontId="1" fillId="0" borderId="1" xfId="2" applyNumberFormat="1" applyFont="1" applyBorder="1"/>
    <xf numFmtId="165" fontId="1" fillId="0" borderId="0" xfId="2" applyNumberFormat="1" applyFont="1" applyBorder="1"/>
    <xf numFmtId="39" fontId="3" fillId="0" borderId="0" xfId="0" applyNumberFormat="1" applyFont="1" applyBorder="1"/>
    <xf numFmtId="39" fontId="3" fillId="0" borderId="0" xfId="0" applyNumberFormat="1" applyFont="1"/>
    <xf numFmtId="49" fontId="3" fillId="0" borderId="0" xfId="0" applyNumberFormat="1" applyFont="1" applyAlignment="1">
      <alignment horizontal="left" indent="2"/>
    </xf>
    <xf numFmtId="165" fontId="1" fillId="0" borderId="2" xfId="2" applyNumberFormat="1" applyFont="1" applyBorder="1"/>
    <xf numFmtId="49" fontId="1" fillId="0" borderId="0" xfId="0" applyNumberFormat="1" applyFont="1" applyAlignment="1">
      <alignment horizontal="left"/>
    </xf>
    <xf numFmtId="0" fontId="4" fillId="0" borderId="0" xfId="0" applyFont="1"/>
    <xf numFmtId="49" fontId="1" fillId="2" borderId="0" xfId="0" applyNumberFormat="1" applyFont="1" applyFill="1" applyAlignment="1">
      <alignment horizontal="left" indent="3"/>
    </xf>
    <xf numFmtId="49" fontId="1" fillId="2" borderId="0" xfId="0" applyNumberFormat="1" applyFont="1" applyFill="1"/>
    <xf numFmtId="0" fontId="0" fillId="2" borderId="0" xfId="0" applyFill="1"/>
    <xf numFmtId="49" fontId="3" fillId="0" borderId="0" xfId="0" applyNumberFormat="1" applyFont="1" applyAlignment="1">
      <alignment horizontal="left" indent="4"/>
    </xf>
    <xf numFmtId="49" fontId="1" fillId="2" borderId="0" xfId="0" applyNumberFormat="1" applyFont="1" applyFill="1" applyAlignment="1">
      <alignment horizontal="left" indent="2"/>
    </xf>
    <xf numFmtId="0" fontId="1" fillId="2" borderId="0" xfId="0" applyFont="1" applyFill="1"/>
    <xf numFmtId="165" fontId="3" fillId="2" borderId="0" xfId="2" applyNumberFormat="1" applyFont="1" applyFill="1"/>
    <xf numFmtId="0" fontId="4" fillId="2" borderId="0" xfId="0" applyFont="1" applyFill="1"/>
    <xf numFmtId="49" fontId="3" fillId="0" borderId="0" xfId="0" applyNumberFormat="1" applyFont="1" applyFill="1" applyAlignment="1">
      <alignment horizontal="left" indent="3"/>
    </xf>
    <xf numFmtId="165" fontId="3" fillId="0" borderId="0" xfId="2" applyNumberFormat="1" applyFont="1" applyFill="1"/>
    <xf numFmtId="0" fontId="4" fillId="0" borderId="0" xfId="0" applyFont="1" applyFill="1"/>
    <xf numFmtId="164" fontId="3" fillId="0" borderId="0" xfId="1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206288</xdr:colOff>
      <xdr:row>1</xdr:row>
      <xdr:rowOff>25400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FCD5A4E-B7A1-E94C-A867-86490C69ADB6}"/>
            </a:ext>
          </a:extLst>
        </xdr:cNvPr>
        <xdr:cNvSpPr/>
      </xdr:nvSpPr>
      <xdr:spPr bwMode="auto">
        <a:xfrm>
          <a:off x="0" y="0"/>
          <a:ext cx="1031789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206288</xdr:colOff>
      <xdr:row>1</xdr:row>
      <xdr:rowOff>25400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8B6AC14-AC60-A941-8E1E-3D8C8E1D79C8}"/>
            </a:ext>
          </a:extLst>
        </xdr:cNvPr>
        <xdr:cNvSpPr/>
      </xdr:nvSpPr>
      <xdr:spPr bwMode="auto">
        <a:xfrm>
          <a:off x="0" y="0"/>
          <a:ext cx="1031789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206288</xdr:colOff>
      <xdr:row>1</xdr:row>
      <xdr:rowOff>25400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121E1102-BCF1-8A43-ADA3-D18C0FBF11A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1789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206288</xdr:colOff>
      <xdr:row>1</xdr:row>
      <xdr:rowOff>25400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BEA6B15C-9EE8-7740-9923-D8BAADE35A1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1789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E17BC-2A19-A54B-B720-80D48A96E8B9}">
  <sheetPr>
    <pageSetUpPr fitToPage="1"/>
  </sheetPr>
  <dimension ref="A1:W59"/>
  <sheetViews>
    <sheetView showGridLines="0"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R2" sqref="R2"/>
    </sheetView>
  </sheetViews>
  <sheetFormatPr baseColWidth="10" defaultColWidth="10.6640625" defaultRowHeight="16" x14ac:dyDescent="0.2"/>
  <cols>
    <col min="1" max="1" width="3" style="3" customWidth="1"/>
    <col min="2" max="2" width="50.83203125" style="3" customWidth="1"/>
    <col min="3" max="3" width="3" style="3" customWidth="1"/>
    <col min="4" max="4" width="14.6640625" style="4" bestFit="1" customWidth="1"/>
    <col min="5" max="5" width="3.5" style="4" customWidth="1"/>
    <col min="6" max="6" width="14.6640625" style="4" bestFit="1" customWidth="1"/>
    <col min="7" max="7" width="3.5" style="4" customWidth="1"/>
    <col min="8" max="8" width="14.6640625" style="4" bestFit="1" customWidth="1"/>
    <col min="9" max="9" width="3.5" style="4" customWidth="1"/>
    <col min="10" max="10" width="14.6640625" style="4" bestFit="1" customWidth="1"/>
    <col min="11" max="11" width="3.5" style="4" customWidth="1"/>
    <col min="12" max="12" width="14.6640625" style="4" bestFit="1" customWidth="1"/>
    <col min="13" max="13" width="3.5" style="4" customWidth="1"/>
    <col min="14" max="14" width="14.6640625" style="4" customWidth="1"/>
    <col min="15" max="15" width="3.5" style="4" customWidth="1"/>
    <col min="16" max="16" width="14.6640625" style="4" bestFit="1" customWidth="1"/>
    <col min="17" max="17" width="3.5" style="4" customWidth="1"/>
    <col min="18" max="18" width="14.6640625" style="4" customWidth="1"/>
    <col min="19" max="19" width="3.5" style="4" customWidth="1"/>
    <col min="20" max="20" width="58.33203125" style="4" customWidth="1"/>
    <col min="21" max="16384" width="10.6640625" style="4"/>
  </cols>
  <sheetData>
    <row r="1" spans="1:22" x14ac:dyDescent="0.2">
      <c r="A1" s="16" t="s">
        <v>2</v>
      </c>
      <c r="B1" s="16"/>
      <c r="C1" s="16"/>
      <c r="D1" s="16"/>
      <c r="F1" s="16"/>
      <c r="H1" s="16"/>
      <c r="J1" s="16"/>
      <c r="L1" s="16"/>
      <c r="N1" s="16"/>
      <c r="P1" s="16"/>
      <c r="R1" s="16"/>
    </row>
    <row r="2" spans="1:22" x14ac:dyDescent="0.2">
      <c r="A2" s="1"/>
      <c r="B2" s="1"/>
      <c r="C2" s="1"/>
    </row>
    <row r="3" spans="1:22" x14ac:dyDescent="0.2">
      <c r="A3" s="1"/>
      <c r="B3" s="1"/>
      <c r="C3" s="1"/>
      <c r="D3" s="5"/>
      <c r="F3" s="5"/>
      <c r="H3" s="5"/>
      <c r="J3" s="5"/>
      <c r="P3" s="5"/>
      <c r="R3" s="5"/>
    </row>
    <row r="4" spans="1:22" ht="54" customHeight="1" thickBot="1" x14ac:dyDescent="0.25">
      <c r="A4" s="2"/>
      <c r="B4" s="2"/>
      <c r="C4" s="2"/>
      <c r="D4" s="6" t="s">
        <v>9</v>
      </c>
      <c r="F4" s="6" t="s">
        <v>10</v>
      </c>
      <c r="H4" s="6" t="s">
        <v>11</v>
      </c>
      <c r="J4" s="6" t="s">
        <v>12</v>
      </c>
      <c r="L4" s="6" t="s">
        <v>44</v>
      </c>
      <c r="N4" s="6" t="s">
        <v>45</v>
      </c>
      <c r="P4" s="6" t="s">
        <v>13</v>
      </c>
      <c r="R4" s="6" t="s">
        <v>46</v>
      </c>
      <c r="T4" s="6" t="s">
        <v>58</v>
      </c>
    </row>
    <row r="5" spans="1:22" x14ac:dyDescent="0.2">
      <c r="A5" s="1"/>
      <c r="B5" s="1" t="s">
        <v>27</v>
      </c>
      <c r="C5" s="1"/>
    </row>
    <row r="6" spans="1:22" customFormat="1" x14ac:dyDescent="0.2">
      <c r="A6" s="1"/>
      <c r="B6" s="18" t="s">
        <v>28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x14ac:dyDescent="0.2">
      <c r="A7" s="1"/>
      <c r="B7" s="21" t="s">
        <v>25</v>
      </c>
      <c r="D7" s="8">
        <v>17275.5</v>
      </c>
      <c r="F7" s="8">
        <v>17537.5</v>
      </c>
      <c r="H7" s="8">
        <v>18400</v>
      </c>
      <c r="J7" s="8">
        <v>19550</v>
      </c>
      <c r="L7" s="8">
        <v>19550</v>
      </c>
      <c r="N7" s="8">
        <f>L7-J7</f>
        <v>0</v>
      </c>
      <c r="P7" s="8">
        <f>17*287.5*4</f>
        <v>19550</v>
      </c>
      <c r="R7" s="8">
        <f>18*287.5*4</f>
        <v>20700</v>
      </c>
      <c r="T7" s="17" t="s">
        <v>68</v>
      </c>
    </row>
    <row r="8" spans="1:22" x14ac:dyDescent="0.2">
      <c r="A8" s="1"/>
      <c r="B8" s="21" t="s">
        <v>3</v>
      </c>
      <c r="D8" s="9">
        <v>10815</v>
      </c>
      <c r="F8" s="9">
        <v>10815</v>
      </c>
      <c r="H8" s="9">
        <v>10815</v>
      </c>
      <c r="J8" s="9">
        <v>10815</v>
      </c>
      <c r="L8" s="9">
        <v>10815</v>
      </c>
      <c r="N8" s="9">
        <f>L8-J8</f>
        <v>0</v>
      </c>
      <c r="P8" s="9">
        <f>21*128.75*4</f>
        <v>10815</v>
      </c>
      <c r="R8" s="9">
        <f>P8</f>
        <v>10815</v>
      </c>
      <c r="T8" s="17" t="s">
        <v>60</v>
      </c>
    </row>
    <row r="9" spans="1:22" x14ac:dyDescent="0.2">
      <c r="A9" s="1"/>
      <c r="B9" s="21" t="s">
        <v>5</v>
      </c>
      <c r="D9" s="9">
        <v>612</v>
      </c>
      <c r="F9" s="9">
        <v>586.5</v>
      </c>
      <c r="H9" s="9">
        <v>510</v>
      </c>
      <c r="J9" s="9">
        <v>306</v>
      </c>
      <c r="L9" s="29">
        <v>408</v>
      </c>
      <c r="N9" s="9">
        <f>L9-J9</f>
        <v>102</v>
      </c>
      <c r="P9" s="9">
        <f>25.5*4*4</f>
        <v>408</v>
      </c>
      <c r="R9" s="9">
        <f>25.5*4*3</f>
        <v>306</v>
      </c>
      <c r="T9" s="17" t="s">
        <v>67</v>
      </c>
    </row>
    <row r="10" spans="1:22" x14ac:dyDescent="0.2">
      <c r="A10" s="1"/>
      <c r="B10" s="21" t="s">
        <v>4</v>
      </c>
      <c r="D10" s="9">
        <v>6048</v>
      </c>
      <c r="F10" s="9">
        <v>7035</v>
      </c>
      <c r="H10" s="9">
        <v>7035</v>
      </c>
      <c r="J10" s="9">
        <v>7355</v>
      </c>
      <c r="L10" s="9">
        <v>7035</v>
      </c>
      <c r="N10" s="9">
        <f>L10-J10</f>
        <v>-320</v>
      </c>
      <c r="P10" s="29">
        <f>21*83.75*4</f>
        <v>7035</v>
      </c>
      <c r="R10" s="9">
        <f>P10</f>
        <v>7035</v>
      </c>
      <c r="T10" s="28" t="s">
        <v>61</v>
      </c>
    </row>
    <row r="11" spans="1:22" x14ac:dyDescent="0.2">
      <c r="A11" s="1"/>
      <c r="B11" s="21" t="s">
        <v>6</v>
      </c>
      <c r="D11" s="9">
        <v>14306</v>
      </c>
      <c r="F11" s="9">
        <v>26997.599999999999</v>
      </c>
      <c r="H11" s="9">
        <v>13627.2</v>
      </c>
      <c r="J11" s="9">
        <v>9000</v>
      </c>
      <c r="L11" s="9">
        <v>6905.32</v>
      </c>
      <c r="N11" s="9">
        <f>L11-J11</f>
        <v>-2094.6800000000003</v>
      </c>
      <c r="P11" s="9">
        <v>5000</v>
      </c>
      <c r="R11" s="9">
        <f>P11</f>
        <v>5000</v>
      </c>
      <c r="T11" s="17" t="s">
        <v>62</v>
      </c>
    </row>
    <row r="12" spans="1:22" customFormat="1" x14ac:dyDescent="0.2">
      <c r="A12" s="1"/>
      <c r="B12" s="18" t="s">
        <v>29</v>
      </c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2">
      <c r="A13" s="1"/>
      <c r="B13" s="21" t="s">
        <v>7</v>
      </c>
      <c r="D13" s="9">
        <v>10000</v>
      </c>
      <c r="F13" s="9">
        <v>0</v>
      </c>
      <c r="H13" s="9">
        <v>10000</v>
      </c>
      <c r="J13" s="9">
        <v>0</v>
      </c>
      <c r="L13" s="9">
        <v>0</v>
      </c>
      <c r="N13" s="9">
        <f>L13-J13</f>
        <v>0</v>
      </c>
      <c r="P13" s="9">
        <v>10000</v>
      </c>
      <c r="R13" s="9">
        <v>0</v>
      </c>
      <c r="T13" s="17" t="s">
        <v>48</v>
      </c>
    </row>
    <row r="14" spans="1:22" x14ac:dyDescent="0.2">
      <c r="A14" s="1"/>
      <c r="B14" s="21" t="s">
        <v>1</v>
      </c>
      <c r="D14" s="9">
        <v>302.12</v>
      </c>
      <c r="F14" s="9">
        <v>386.85</v>
      </c>
      <c r="H14" s="9">
        <v>529.53</v>
      </c>
      <c r="J14" s="9">
        <v>300</v>
      </c>
      <c r="L14" s="9">
        <v>245.85</v>
      </c>
      <c r="N14" s="9">
        <f>L14-J14</f>
        <v>-54.150000000000006</v>
      </c>
      <c r="P14" s="9">
        <v>25</v>
      </c>
      <c r="R14" s="9">
        <f>P14</f>
        <v>25</v>
      </c>
      <c r="T14" s="17"/>
    </row>
    <row r="15" spans="1:22" x14ac:dyDescent="0.2">
      <c r="A15" s="1"/>
      <c r="B15" s="21" t="s">
        <v>8</v>
      </c>
      <c r="D15" s="9">
        <v>0</v>
      </c>
      <c r="F15" s="9">
        <v>500</v>
      </c>
      <c r="H15" s="9">
        <v>300</v>
      </c>
      <c r="J15" s="9">
        <v>0</v>
      </c>
      <c r="L15" s="9">
        <v>300</v>
      </c>
      <c r="N15" s="9">
        <f>L15-J15</f>
        <v>300</v>
      </c>
      <c r="P15" s="9">
        <v>0</v>
      </c>
      <c r="R15" s="9">
        <v>0</v>
      </c>
      <c r="T15" s="17"/>
      <c r="U15" s="8"/>
    </row>
    <row r="16" spans="1:22" x14ac:dyDescent="0.2">
      <c r="A16" s="1"/>
      <c r="B16" s="21" t="s">
        <v>24</v>
      </c>
      <c r="D16" s="9">
        <v>0</v>
      </c>
      <c r="F16" s="9">
        <v>0</v>
      </c>
      <c r="H16" s="9">
        <v>0</v>
      </c>
      <c r="J16" s="9">
        <v>0</v>
      </c>
      <c r="L16" s="9">
        <v>90.88</v>
      </c>
      <c r="N16" s="9">
        <f>L16-J16</f>
        <v>90.88</v>
      </c>
      <c r="P16" s="9">
        <v>0</v>
      </c>
      <c r="R16" s="9">
        <v>0</v>
      </c>
      <c r="T16" s="17"/>
      <c r="U16" s="9"/>
    </row>
    <row r="17" spans="1:23" x14ac:dyDescent="0.2">
      <c r="A17" s="1"/>
      <c r="B17" s="21" t="s">
        <v>23</v>
      </c>
      <c r="D17" s="9">
        <v>0</v>
      </c>
      <c r="F17" s="9">
        <v>0</v>
      </c>
      <c r="H17" s="9">
        <v>0</v>
      </c>
      <c r="J17" s="9">
        <v>0</v>
      </c>
      <c r="L17" s="9">
        <v>3029.3</v>
      </c>
      <c r="N17" s="9">
        <f>L17-J17</f>
        <v>3029.3</v>
      </c>
      <c r="P17" s="9">
        <v>0</v>
      </c>
      <c r="R17" s="9">
        <v>0</v>
      </c>
      <c r="T17" s="17"/>
      <c r="U17" s="9"/>
    </row>
    <row r="18" spans="1:23" ht="8" customHeight="1" x14ac:dyDescent="0.2">
      <c r="A18" s="1"/>
      <c r="B18" s="7"/>
      <c r="D18" s="9"/>
      <c r="F18" s="9"/>
      <c r="H18" s="9"/>
      <c r="J18" s="9"/>
      <c r="L18" s="9"/>
      <c r="N18" s="9"/>
      <c r="P18" s="9"/>
      <c r="R18" s="9"/>
      <c r="U18" s="9"/>
    </row>
    <row r="19" spans="1:23" x14ac:dyDescent="0.2">
      <c r="A19" s="1"/>
      <c r="B19" s="1" t="s">
        <v>38</v>
      </c>
      <c r="C19" s="1"/>
      <c r="D19" s="15">
        <f>SUM(D7:D17)</f>
        <v>59358.62</v>
      </c>
      <c r="F19" s="15">
        <f>SUM(F7:F17)</f>
        <v>63858.45</v>
      </c>
      <c r="H19" s="15">
        <f>SUM(H7:H17)</f>
        <v>61216.729999999996</v>
      </c>
      <c r="J19" s="15">
        <f>SUM(J7:J17)</f>
        <v>47326</v>
      </c>
      <c r="L19" s="15">
        <f>SUM(L7:L17)</f>
        <v>48379.35</v>
      </c>
      <c r="N19" s="15">
        <f>L19-J19</f>
        <v>1053.3499999999985</v>
      </c>
      <c r="P19" s="15">
        <f>SUM(P7:P17)</f>
        <v>52833</v>
      </c>
      <c r="R19" s="15">
        <f>SUM(R7:R17)</f>
        <v>43881</v>
      </c>
    </row>
    <row r="20" spans="1:23" x14ac:dyDescent="0.2">
      <c r="A20" s="1"/>
      <c r="B20" s="1"/>
      <c r="D20" s="12"/>
      <c r="F20" s="12"/>
      <c r="H20" s="12"/>
      <c r="J20" s="12"/>
      <c r="L20" s="12"/>
      <c r="N20" s="12"/>
      <c r="P20" s="12"/>
      <c r="R20" s="12"/>
      <c r="U20" s="9"/>
    </row>
    <row r="21" spans="1:23" x14ac:dyDescent="0.2">
      <c r="A21" s="1"/>
      <c r="B21" s="1" t="s">
        <v>31</v>
      </c>
      <c r="C21" s="1"/>
      <c r="D21" s="13"/>
      <c r="F21" s="13"/>
      <c r="H21" s="13"/>
      <c r="J21" s="13"/>
      <c r="L21" s="13"/>
      <c r="N21" s="13"/>
      <c r="P21" s="13"/>
      <c r="R21" s="13"/>
      <c r="U21" s="9"/>
    </row>
    <row r="22" spans="1:23" customFormat="1" x14ac:dyDescent="0.2">
      <c r="A22" s="1"/>
      <c r="B22" s="22" t="s">
        <v>32</v>
      </c>
      <c r="C22" s="23"/>
      <c r="D22" s="24"/>
      <c r="E22" s="20"/>
      <c r="F22" s="24"/>
      <c r="G22" s="20"/>
      <c r="H22" s="24"/>
      <c r="I22" s="20"/>
      <c r="J22" s="24"/>
      <c r="K22" s="20"/>
      <c r="L22" s="24"/>
      <c r="M22" s="20"/>
      <c r="N22" s="24"/>
      <c r="O22" s="20"/>
      <c r="P22" s="24"/>
      <c r="Q22" s="20"/>
      <c r="R22" s="24"/>
      <c r="S22" s="20"/>
      <c r="T22" s="24"/>
      <c r="U22" s="20"/>
      <c r="V22" s="25"/>
      <c r="W22" s="9"/>
    </row>
    <row r="23" spans="1:23" x14ac:dyDescent="0.2">
      <c r="A23" s="1"/>
      <c r="B23" s="7" t="s">
        <v>56</v>
      </c>
      <c r="D23" s="9">
        <v>5435.2</v>
      </c>
      <c r="F23" s="9">
        <v>18474.14</v>
      </c>
      <c r="H23" s="9">
        <v>4357.25</v>
      </c>
      <c r="J23" s="9">
        <v>8000</v>
      </c>
      <c r="L23" s="9">
        <f>10938.67-L33-L34+500+500</f>
        <v>6827.9499999999989</v>
      </c>
      <c r="N23" s="9">
        <f>L23-J23</f>
        <v>-1172.0500000000011</v>
      </c>
      <c r="P23" s="9">
        <f>(500*12)+3000</f>
        <v>9000</v>
      </c>
      <c r="R23" s="9">
        <f>P23</f>
        <v>9000</v>
      </c>
      <c r="T23" s="17" t="s">
        <v>63</v>
      </c>
      <c r="U23" s="9"/>
    </row>
    <row r="24" spans="1:23" x14ac:dyDescent="0.2">
      <c r="A24" s="1"/>
      <c r="B24" s="7" t="s">
        <v>55</v>
      </c>
      <c r="D24" s="9">
        <v>2400</v>
      </c>
      <c r="F24" s="9">
        <v>2400</v>
      </c>
      <c r="H24" s="9">
        <v>4600</v>
      </c>
      <c r="J24" s="9">
        <v>4800</v>
      </c>
      <c r="L24" s="9">
        <f>7918.19+1000+1000</f>
        <v>9918.1899999999987</v>
      </c>
      <c r="N24" s="9">
        <f>L24-J24</f>
        <v>5118.1899999999987</v>
      </c>
      <c r="P24" s="9">
        <f>(1700/2)*12</f>
        <v>10200</v>
      </c>
      <c r="R24" s="9">
        <f t="shared" ref="R24:R38" si="0">P24</f>
        <v>10200</v>
      </c>
      <c r="T24" s="17" t="s">
        <v>64</v>
      </c>
      <c r="U24" s="9"/>
    </row>
    <row r="25" spans="1:23" x14ac:dyDescent="0.2">
      <c r="A25" s="1"/>
      <c r="B25" s="7" t="s">
        <v>15</v>
      </c>
      <c r="D25" s="9">
        <v>0</v>
      </c>
      <c r="F25" s="9">
        <v>5000</v>
      </c>
      <c r="H25" s="9">
        <v>0</v>
      </c>
      <c r="J25" s="9">
        <v>0</v>
      </c>
      <c r="L25" s="9">
        <v>2761.76</v>
      </c>
      <c r="N25" s="9">
        <f>L25-J25</f>
        <v>2761.76</v>
      </c>
      <c r="P25" s="9">
        <v>1000</v>
      </c>
      <c r="R25" s="9">
        <v>1000</v>
      </c>
      <c r="T25" s="17" t="s">
        <v>66</v>
      </c>
      <c r="V25" s="17"/>
    </row>
    <row r="26" spans="1:23" x14ac:dyDescent="0.2">
      <c r="A26" s="1"/>
      <c r="B26" s="7" t="s">
        <v>16</v>
      </c>
      <c r="D26" s="9">
        <v>1007.25</v>
      </c>
      <c r="F26" s="9">
        <v>0</v>
      </c>
      <c r="H26" s="9">
        <v>1178.55</v>
      </c>
      <c r="J26" s="9">
        <v>3000</v>
      </c>
      <c r="L26" s="9">
        <v>900</v>
      </c>
      <c r="N26" s="9">
        <f>L26-J26</f>
        <v>-2100</v>
      </c>
      <c r="P26" s="9">
        <v>500</v>
      </c>
      <c r="R26" s="9">
        <f t="shared" si="0"/>
        <v>500</v>
      </c>
      <c r="T26" s="17"/>
    </row>
    <row r="27" spans="1:23" x14ac:dyDescent="0.2">
      <c r="A27" s="1"/>
      <c r="B27" s="7" t="s">
        <v>17</v>
      </c>
      <c r="D27" s="9">
        <v>210</v>
      </c>
      <c r="F27" s="9">
        <v>200</v>
      </c>
      <c r="H27" s="9">
        <v>255</v>
      </c>
      <c r="J27" s="9">
        <v>250</v>
      </c>
      <c r="L27" s="9">
        <v>250</v>
      </c>
      <c r="N27" s="9">
        <f>L27-J27</f>
        <v>0</v>
      </c>
      <c r="P27" s="9">
        <v>250</v>
      </c>
      <c r="R27" s="9">
        <f t="shared" si="0"/>
        <v>250</v>
      </c>
      <c r="T27" s="17" t="s">
        <v>26</v>
      </c>
    </row>
    <row r="28" spans="1:23" customFormat="1" x14ac:dyDescent="0.2">
      <c r="A28" s="1"/>
      <c r="B28" s="22" t="s">
        <v>33</v>
      </c>
      <c r="C28" s="23"/>
      <c r="D28" s="24"/>
      <c r="E28" s="20"/>
      <c r="F28" s="24"/>
      <c r="G28" s="20"/>
      <c r="H28" s="24"/>
      <c r="I28" s="20"/>
      <c r="J28" s="24"/>
      <c r="K28" s="20"/>
      <c r="L28" s="24"/>
      <c r="M28" s="20"/>
      <c r="N28" s="24"/>
      <c r="O28" s="20"/>
      <c r="P28" s="24"/>
      <c r="Q28" s="20"/>
      <c r="R28" s="24"/>
      <c r="S28" s="20"/>
      <c r="T28" s="24"/>
      <c r="U28" s="20"/>
      <c r="V28" s="25"/>
      <c r="W28" s="9"/>
    </row>
    <row r="29" spans="1:23" x14ac:dyDescent="0.2">
      <c r="A29" s="1"/>
      <c r="B29" s="7" t="s">
        <v>0</v>
      </c>
      <c r="D29" s="9">
        <v>3300</v>
      </c>
      <c r="F29" s="9">
        <v>3242</v>
      </c>
      <c r="H29" s="9">
        <v>3242</v>
      </c>
      <c r="J29" s="9">
        <v>3300</v>
      </c>
      <c r="L29" s="9">
        <f>844+2376</f>
        <v>3220</v>
      </c>
      <c r="N29" s="9">
        <f>L29-J29</f>
        <v>-80</v>
      </c>
      <c r="P29" s="9">
        <v>3300</v>
      </c>
      <c r="R29" s="9">
        <f t="shared" si="0"/>
        <v>3300</v>
      </c>
      <c r="T29" s="17" t="s">
        <v>26</v>
      </c>
    </row>
    <row r="30" spans="1:23" x14ac:dyDescent="0.2">
      <c r="A30" s="1"/>
      <c r="B30" s="7" t="s">
        <v>18</v>
      </c>
      <c r="D30" s="9">
        <f>60+9.8</f>
        <v>69.8</v>
      </c>
      <c r="F30" s="9">
        <f>73+29.27+10</f>
        <v>112.27</v>
      </c>
      <c r="H30" s="9">
        <f>310+22</f>
        <v>332</v>
      </c>
      <c r="J30" s="9">
        <f>110+20+20</f>
        <v>150</v>
      </c>
      <c r="L30" s="9">
        <f>113.51+10+215.88+18.15</f>
        <v>357.53999999999996</v>
      </c>
      <c r="N30" s="9">
        <f>L30-J30</f>
        <v>207.53999999999996</v>
      </c>
      <c r="P30" s="9">
        <v>350</v>
      </c>
      <c r="R30" s="9">
        <f t="shared" si="0"/>
        <v>350</v>
      </c>
      <c r="T30" s="17" t="s">
        <v>26</v>
      </c>
    </row>
    <row r="31" spans="1:23" customFormat="1" x14ac:dyDescent="0.2">
      <c r="A31" s="1"/>
      <c r="B31" s="22" t="s">
        <v>34</v>
      </c>
      <c r="C31" s="23"/>
      <c r="D31" s="24"/>
      <c r="E31" s="20"/>
      <c r="F31" s="24"/>
      <c r="G31" s="20"/>
      <c r="H31" s="24"/>
      <c r="I31" s="20"/>
      <c r="J31" s="24"/>
      <c r="K31" s="20"/>
      <c r="L31" s="24"/>
      <c r="M31" s="20"/>
      <c r="N31" s="24"/>
      <c r="O31" s="20"/>
      <c r="P31" s="24"/>
      <c r="Q31" s="20"/>
      <c r="R31" s="24"/>
      <c r="S31" s="20"/>
      <c r="T31" s="24"/>
      <c r="U31" s="20"/>
      <c r="V31" s="25"/>
      <c r="W31" s="9"/>
    </row>
    <row r="32" spans="1:23" x14ac:dyDescent="0.2">
      <c r="A32" s="1"/>
      <c r="B32" s="7" t="s">
        <v>4</v>
      </c>
      <c r="D32" s="9">
        <v>7020.08</v>
      </c>
      <c r="F32" s="9">
        <v>7038.18</v>
      </c>
      <c r="H32" s="9">
        <v>7040.18</v>
      </c>
      <c r="J32" s="9">
        <v>7040</v>
      </c>
      <c r="L32" s="9">
        <v>7040</v>
      </c>
      <c r="N32" s="9">
        <f>L32-J32</f>
        <v>0</v>
      </c>
      <c r="P32" s="9">
        <v>7040.18</v>
      </c>
      <c r="R32" s="9">
        <f t="shared" si="0"/>
        <v>7040.18</v>
      </c>
      <c r="T32" s="17" t="s">
        <v>26</v>
      </c>
    </row>
    <row r="33" spans="1:21" x14ac:dyDescent="0.2">
      <c r="A33" s="1"/>
      <c r="B33" s="7" t="s">
        <v>49</v>
      </c>
      <c r="D33" s="9"/>
      <c r="F33" s="9"/>
      <c r="H33" s="9"/>
      <c r="J33" s="9"/>
      <c r="L33" s="9">
        <v>100</v>
      </c>
      <c r="N33" s="9">
        <f>L33-J33</f>
        <v>100</v>
      </c>
      <c r="P33" s="9">
        <v>100</v>
      </c>
      <c r="R33" s="9">
        <f t="shared" si="0"/>
        <v>100</v>
      </c>
      <c r="T33" s="17" t="s">
        <v>26</v>
      </c>
    </row>
    <row r="34" spans="1:21" x14ac:dyDescent="0.2">
      <c r="A34" s="1"/>
      <c r="B34" s="7" t="s">
        <v>50</v>
      </c>
      <c r="D34" s="9">
        <v>1267.54</v>
      </c>
      <c r="F34" s="9">
        <v>817.57</v>
      </c>
      <c r="H34" s="9">
        <v>0</v>
      </c>
      <c r="J34" s="9">
        <v>0</v>
      </c>
      <c r="L34" s="9">
        <f>54.8+64.47+2253.6+54.8+54.8+54.8+2253.6+54.8+55.05+55+55</f>
        <v>5010.7200000000012</v>
      </c>
      <c r="N34" s="9">
        <f>L34-J34</f>
        <v>5010.7200000000012</v>
      </c>
      <c r="P34" s="9">
        <f>2252+(55*12)</f>
        <v>2912</v>
      </c>
      <c r="R34" s="9">
        <f t="shared" si="0"/>
        <v>2912</v>
      </c>
      <c r="T34" s="17" t="s">
        <v>65</v>
      </c>
    </row>
    <row r="35" spans="1:21" x14ac:dyDescent="0.2">
      <c r="A35" s="1"/>
      <c r="B35" s="7" t="s">
        <v>47</v>
      </c>
      <c r="D35" s="9">
        <f>1757.88+1586+441+838</f>
        <v>4622.88</v>
      </c>
      <c r="F35" s="9">
        <f>407.51+2621+511+960</f>
        <v>4499.51</v>
      </c>
      <c r="H35" s="9">
        <f>779.9+1270+396+800</f>
        <v>3245.9</v>
      </c>
      <c r="J35" s="9">
        <f>900+1500+500+900</f>
        <v>3800</v>
      </c>
      <c r="L35" s="9">
        <f>3634.85+375+375</f>
        <v>4384.8500000000004</v>
      </c>
      <c r="N35" s="9">
        <f>L35-J35</f>
        <v>584.85000000000036</v>
      </c>
      <c r="P35" s="9">
        <v>4350</v>
      </c>
      <c r="R35" s="9">
        <f t="shared" si="0"/>
        <v>4350</v>
      </c>
      <c r="T35" s="17" t="s">
        <v>26</v>
      </c>
    </row>
    <row r="36" spans="1:21" x14ac:dyDescent="0.2">
      <c r="A36" s="1"/>
      <c r="B36" s="1" t="s">
        <v>35</v>
      </c>
      <c r="C36" s="1"/>
      <c r="D36" s="15">
        <f>SUM(D22:D35)</f>
        <v>25332.750000000004</v>
      </c>
      <c r="F36" s="15">
        <f>SUM(F22:F35)</f>
        <v>41783.67</v>
      </c>
      <c r="H36" s="15">
        <f>SUM(H22:H35)</f>
        <v>24250.880000000001</v>
      </c>
      <c r="J36" s="15">
        <f>SUM(J22:J35)</f>
        <v>30340</v>
      </c>
      <c r="L36" s="15">
        <f>SUM(L22:L35)</f>
        <v>40771.01</v>
      </c>
      <c r="N36" s="15">
        <f>L36-J36</f>
        <v>10431.010000000002</v>
      </c>
      <c r="P36" s="15">
        <f>SUM(P22:P35)</f>
        <v>39002.18</v>
      </c>
      <c r="R36" s="15">
        <f t="shared" si="0"/>
        <v>39002.18</v>
      </c>
    </row>
    <row r="37" spans="1:21" ht="8" customHeight="1" thickBot="1" x14ac:dyDescent="0.25">
      <c r="A37" s="1"/>
      <c r="B37" s="1"/>
      <c r="C37" s="1"/>
      <c r="D37" s="11"/>
      <c r="F37" s="11"/>
      <c r="H37" s="11"/>
      <c r="J37" s="11"/>
      <c r="L37" s="11"/>
      <c r="N37" s="11"/>
      <c r="P37" s="11"/>
      <c r="R37" s="11">
        <f t="shared" si="0"/>
        <v>0</v>
      </c>
    </row>
    <row r="38" spans="1:21" ht="17" thickBot="1" x14ac:dyDescent="0.25">
      <c r="A38" s="1"/>
      <c r="B38" s="1" t="s">
        <v>36</v>
      </c>
      <c r="D38" s="10">
        <f>D19-D36</f>
        <v>34025.869999999995</v>
      </c>
      <c r="F38" s="10">
        <f>F19-F36</f>
        <v>22074.78</v>
      </c>
      <c r="H38" s="10">
        <f>H19-H36</f>
        <v>36965.849999999991</v>
      </c>
      <c r="J38" s="10">
        <f>J19-J36</f>
        <v>16986</v>
      </c>
      <c r="L38" s="10">
        <f>L19-L36</f>
        <v>7608.3399999999965</v>
      </c>
      <c r="N38" s="10">
        <f>L38-J38</f>
        <v>-9377.6600000000035</v>
      </c>
      <c r="P38" s="10">
        <f>P19-P36</f>
        <v>13830.82</v>
      </c>
      <c r="R38" s="10">
        <f t="shared" si="0"/>
        <v>13830.82</v>
      </c>
      <c r="U38" s="9"/>
    </row>
    <row r="39" spans="1:21" x14ac:dyDescent="0.2">
      <c r="A39" s="1"/>
      <c r="B39" s="14"/>
      <c r="D39" s="8"/>
      <c r="F39" s="8"/>
      <c r="H39" s="8"/>
      <c r="J39" s="8"/>
      <c r="L39" s="8"/>
      <c r="N39" s="8"/>
      <c r="P39" s="8"/>
      <c r="R39" s="8"/>
    </row>
    <row r="40" spans="1:21" x14ac:dyDescent="0.2">
      <c r="A40" s="1"/>
      <c r="B40" s="14" t="s">
        <v>37</v>
      </c>
      <c r="D40" s="8">
        <f>-D8</f>
        <v>-10815</v>
      </c>
      <c r="F40" s="8">
        <f>-F8</f>
        <v>-10815</v>
      </c>
      <c r="H40" s="8">
        <f>-H8</f>
        <v>-10815</v>
      </c>
      <c r="J40" s="8">
        <f>-J8</f>
        <v>-10815</v>
      </c>
      <c r="L40" s="8">
        <f>-L38</f>
        <v>-7608.3399999999965</v>
      </c>
      <c r="N40" s="8">
        <f>L40-J40</f>
        <v>3206.6600000000035</v>
      </c>
      <c r="P40" s="8">
        <f>-P38</f>
        <v>-13830.82</v>
      </c>
      <c r="Q40" s="8"/>
      <c r="R40" s="8">
        <f t="shared" ref="R40" si="1">-R38</f>
        <v>-13830.82</v>
      </c>
      <c r="S40" s="8"/>
    </row>
    <row r="41" spans="1:21" x14ac:dyDescent="0.2">
      <c r="A41" s="1"/>
      <c r="B41" s="14"/>
      <c r="D41" s="8"/>
      <c r="F41" s="8"/>
      <c r="H41" s="8"/>
      <c r="J41" s="8"/>
      <c r="L41" s="8"/>
      <c r="N41" s="8"/>
      <c r="P41" s="8"/>
      <c r="R41" s="8"/>
    </row>
    <row r="42" spans="1:21" x14ac:dyDescent="0.2">
      <c r="A42" s="1"/>
      <c r="B42" s="1" t="s">
        <v>30</v>
      </c>
      <c r="C42" s="1"/>
    </row>
    <row r="43" spans="1:21" x14ac:dyDescent="0.2">
      <c r="A43" s="1"/>
      <c r="B43" s="14" t="s">
        <v>37</v>
      </c>
      <c r="D43" s="8">
        <f>-D40</f>
        <v>10815</v>
      </c>
      <c r="F43" s="8">
        <f>-F40</f>
        <v>10815</v>
      </c>
      <c r="H43" s="8">
        <f>-H40</f>
        <v>10815</v>
      </c>
      <c r="J43" s="8">
        <f>-J40</f>
        <v>10815</v>
      </c>
      <c r="L43" s="8">
        <f>-L40</f>
        <v>7608.3399999999965</v>
      </c>
      <c r="N43" s="8">
        <f>L43-J43</f>
        <v>-3206.6600000000035</v>
      </c>
      <c r="P43" s="8">
        <f>-P40</f>
        <v>13830.82</v>
      </c>
      <c r="Q43" s="8"/>
      <c r="R43" s="8">
        <f t="shared" ref="R43" si="2">-R40</f>
        <v>13830.82</v>
      </c>
    </row>
    <row r="44" spans="1:21" x14ac:dyDescent="0.2">
      <c r="B44" s="14" t="s">
        <v>57</v>
      </c>
      <c r="D44" s="9"/>
      <c r="F44" s="9"/>
      <c r="H44" s="9"/>
      <c r="P44" s="9">
        <v>325</v>
      </c>
      <c r="Q44" s="9"/>
      <c r="R44" s="9">
        <v>327</v>
      </c>
    </row>
    <row r="45" spans="1:21" x14ac:dyDescent="0.2">
      <c r="A45" s="1"/>
      <c r="B45" s="1" t="s">
        <v>39</v>
      </c>
      <c r="C45" s="1"/>
      <c r="D45" s="15">
        <f>SUM(D43:D44)</f>
        <v>10815</v>
      </c>
      <c r="F45" s="15">
        <f>SUM(F43:F44)</f>
        <v>10815</v>
      </c>
      <c r="H45" s="15">
        <f>SUM(H43:H44)</f>
        <v>10815</v>
      </c>
      <c r="J45" s="15">
        <f>SUM(J43:J44)</f>
        <v>10815</v>
      </c>
      <c r="L45" s="15">
        <f>SUM(L43:L44)</f>
        <v>7608.3399999999965</v>
      </c>
      <c r="N45" s="15">
        <f>L45-J45</f>
        <v>-3206.6600000000035</v>
      </c>
      <c r="P45" s="15">
        <f>SUM(P43:P44)</f>
        <v>14155.82</v>
      </c>
      <c r="Q45" s="15"/>
      <c r="R45" s="15">
        <f t="shared" ref="R45" si="3">SUM(R43:R44)</f>
        <v>14157.82</v>
      </c>
    </row>
    <row r="46" spans="1:21" ht="8" customHeight="1" x14ac:dyDescent="0.2">
      <c r="A46" s="1"/>
      <c r="B46" s="1"/>
      <c r="C46" s="1"/>
      <c r="D46" s="11"/>
      <c r="F46" s="11"/>
      <c r="H46" s="11"/>
      <c r="J46" s="11"/>
      <c r="L46" s="11"/>
      <c r="N46" s="11"/>
      <c r="P46" s="11"/>
      <c r="Q46" s="11"/>
      <c r="R46" s="11"/>
    </row>
    <row r="47" spans="1:21" x14ac:dyDescent="0.2">
      <c r="A47" s="1"/>
      <c r="B47" s="1" t="s">
        <v>40</v>
      </c>
      <c r="C47" s="1"/>
    </row>
    <row r="48" spans="1:21" x14ac:dyDescent="0.2">
      <c r="A48" s="1"/>
      <c r="B48" s="14" t="s">
        <v>14</v>
      </c>
      <c r="D48" s="8">
        <v>2362.83</v>
      </c>
      <c r="F48" s="8">
        <v>19630.52</v>
      </c>
      <c r="H48" s="8">
        <v>17829.189999999999</v>
      </c>
      <c r="J48" s="8">
        <v>16000</v>
      </c>
      <c r="L48" s="27">
        <v>0</v>
      </c>
      <c r="N48" s="8">
        <f>L48-J48</f>
        <v>-16000</v>
      </c>
      <c r="P48" s="8">
        <v>20000</v>
      </c>
      <c r="Q48" s="8"/>
      <c r="R48" s="8">
        <v>0</v>
      </c>
      <c r="T48" s="28" t="s">
        <v>59</v>
      </c>
      <c r="U48" s="9"/>
    </row>
    <row r="49" spans="1:23" x14ac:dyDescent="0.2">
      <c r="A49" s="1"/>
      <c r="B49" s="1" t="s">
        <v>41</v>
      </c>
      <c r="C49" s="1"/>
      <c r="D49" s="15">
        <f>SUM(D48)</f>
        <v>2362.83</v>
      </c>
      <c r="F49" s="15">
        <f>SUM(F48)</f>
        <v>19630.52</v>
      </c>
      <c r="H49" s="15">
        <f>SUM(H48)</f>
        <v>17829.189999999999</v>
      </c>
      <c r="J49" s="15">
        <f>SUM(J48)</f>
        <v>16000</v>
      </c>
      <c r="L49" s="15">
        <f>SUM(L48)</f>
        <v>0</v>
      </c>
      <c r="N49" s="15">
        <f>L49-J49</f>
        <v>-16000</v>
      </c>
      <c r="P49" s="15">
        <f>SUM(P48)</f>
        <v>20000</v>
      </c>
      <c r="Q49" s="15"/>
      <c r="R49" s="15">
        <f t="shared" ref="R49" si="4">SUM(R48)</f>
        <v>0</v>
      </c>
    </row>
    <row r="50" spans="1:23" ht="8" customHeight="1" thickBot="1" x14ac:dyDescent="0.25">
      <c r="A50" s="1"/>
      <c r="B50" s="1"/>
      <c r="C50" s="1"/>
      <c r="D50" s="11"/>
      <c r="F50" s="11"/>
      <c r="H50" s="11"/>
      <c r="J50" s="11"/>
      <c r="L50" s="11"/>
      <c r="N50" s="11"/>
      <c r="P50" s="11"/>
      <c r="Q50" s="11"/>
      <c r="R50" s="11"/>
    </row>
    <row r="51" spans="1:23" ht="17" thickBot="1" x14ac:dyDescent="0.25">
      <c r="A51" s="1"/>
      <c r="B51" s="1" t="s">
        <v>42</v>
      </c>
      <c r="D51" s="10">
        <f>D45-D49</f>
        <v>8452.17</v>
      </c>
      <c r="F51" s="10">
        <f>F45-F49</f>
        <v>-8815.52</v>
      </c>
      <c r="H51" s="10">
        <f>H45-H49</f>
        <v>-7014.1899999999987</v>
      </c>
      <c r="J51" s="10">
        <f>J45-J49</f>
        <v>-5185</v>
      </c>
      <c r="L51" s="10">
        <f>L45-L49</f>
        <v>7608.3399999999965</v>
      </c>
      <c r="N51" s="10">
        <f>L51-J51</f>
        <v>12793.339999999997</v>
      </c>
      <c r="P51" s="10">
        <f>P45-P49</f>
        <v>-5844.18</v>
      </c>
      <c r="Q51" s="10"/>
      <c r="R51" s="10">
        <f t="shared" ref="R51" si="5">R45-R49</f>
        <v>14157.82</v>
      </c>
      <c r="U51" s="9"/>
    </row>
    <row r="52" spans="1:23" ht="17" thickBot="1" x14ac:dyDescent="0.25"/>
    <row r="53" spans="1:23" ht="17" thickBot="1" x14ac:dyDescent="0.25">
      <c r="A53" s="1"/>
      <c r="B53" s="1" t="s">
        <v>43</v>
      </c>
      <c r="D53" s="10">
        <f>D38+D40+D51</f>
        <v>31663.039999999994</v>
      </c>
      <c r="F53" s="10">
        <f>F38+F40+F51</f>
        <v>2444.2599999999984</v>
      </c>
      <c r="H53" s="10">
        <f>H38+H40+H51</f>
        <v>19136.659999999993</v>
      </c>
      <c r="J53" s="10">
        <f>J38+J40+J51</f>
        <v>986</v>
      </c>
      <c r="L53" s="10">
        <f>L38+L40+L51</f>
        <v>7608.3399999999965</v>
      </c>
      <c r="N53" s="10">
        <f>L53-J53</f>
        <v>6622.3399999999965</v>
      </c>
      <c r="P53" s="10">
        <f>P38+P40+P51</f>
        <v>-5844.18</v>
      </c>
      <c r="Q53" s="10"/>
      <c r="R53" s="10">
        <f t="shared" ref="R53" si="6">R38+R40+R51</f>
        <v>14157.82</v>
      </c>
      <c r="U53" s="9"/>
    </row>
    <row r="55" spans="1:23" customFormat="1" x14ac:dyDescent="0.2">
      <c r="A55" s="1"/>
      <c r="B55" s="22" t="s">
        <v>54</v>
      </c>
      <c r="C55" s="23"/>
      <c r="D55" s="24"/>
      <c r="E55" s="20"/>
      <c r="F55" s="24"/>
      <c r="G55" s="20"/>
      <c r="H55" s="24"/>
      <c r="I55" s="20"/>
      <c r="J55" s="24"/>
      <c r="K55" s="20"/>
      <c r="L55" s="24"/>
      <c r="M55" s="20"/>
      <c r="N55" s="24"/>
      <c r="O55" s="20"/>
      <c r="P55" s="24"/>
      <c r="Q55" s="20"/>
      <c r="R55" s="24"/>
      <c r="S55" s="20"/>
      <c r="T55" s="24"/>
      <c r="U55" s="20"/>
      <c r="V55" s="25"/>
      <c r="W55" s="9"/>
    </row>
    <row r="56" spans="1:23" x14ac:dyDescent="0.2">
      <c r="A56" s="1"/>
      <c r="B56" s="26" t="s">
        <v>19</v>
      </c>
      <c r="D56" s="9">
        <v>1220</v>
      </c>
      <c r="F56" s="9">
        <v>0</v>
      </c>
      <c r="H56" s="9">
        <v>0</v>
      </c>
      <c r="J56" s="9">
        <v>0</v>
      </c>
      <c r="L56" s="9">
        <v>0</v>
      </c>
      <c r="N56" s="9">
        <f>L56-J56</f>
        <v>0</v>
      </c>
      <c r="P56" s="9">
        <v>0</v>
      </c>
      <c r="R56" s="9">
        <v>0</v>
      </c>
      <c r="T56" s="17" t="s">
        <v>51</v>
      </c>
    </row>
    <row r="57" spans="1:23" x14ac:dyDescent="0.2">
      <c r="A57" s="1"/>
      <c r="B57" s="26" t="s">
        <v>20</v>
      </c>
      <c r="D57" s="9">
        <v>933.33</v>
      </c>
      <c r="F57" s="9">
        <v>0</v>
      </c>
      <c r="H57" s="9">
        <v>0</v>
      </c>
      <c r="J57" s="9">
        <v>0</v>
      </c>
      <c r="L57" s="9">
        <v>933.33</v>
      </c>
      <c r="N57" s="9">
        <f>L57-J57</f>
        <v>933.33</v>
      </c>
      <c r="P57" s="9">
        <v>933.33</v>
      </c>
      <c r="R57" s="9">
        <f>P57-N57</f>
        <v>0</v>
      </c>
      <c r="T57" s="17" t="s">
        <v>52</v>
      </c>
    </row>
    <row r="58" spans="1:23" x14ac:dyDescent="0.2">
      <c r="A58" s="1"/>
      <c r="B58" s="26" t="s">
        <v>21</v>
      </c>
      <c r="D58" s="9">
        <v>933.33</v>
      </c>
      <c r="F58" s="9">
        <v>0</v>
      </c>
      <c r="H58" s="9">
        <v>0</v>
      </c>
      <c r="J58" s="9">
        <v>0</v>
      </c>
      <c r="L58" s="9">
        <v>933.33</v>
      </c>
      <c r="N58" s="9">
        <f>L58-J58</f>
        <v>933.33</v>
      </c>
      <c r="P58" s="9">
        <v>933.33</v>
      </c>
      <c r="R58" s="9">
        <f>P58-N58</f>
        <v>0</v>
      </c>
      <c r="T58" s="17" t="s">
        <v>52</v>
      </c>
    </row>
    <row r="59" spans="1:23" x14ac:dyDescent="0.2">
      <c r="A59" s="1"/>
      <c r="B59" s="26" t="s">
        <v>22</v>
      </c>
      <c r="D59" s="9">
        <v>703</v>
      </c>
      <c r="F59" s="9">
        <v>0</v>
      </c>
      <c r="H59" s="9">
        <v>0</v>
      </c>
      <c r="J59" s="9">
        <v>0</v>
      </c>
      <c r="L59" s="9">
        <v>703</v>
      </c>
      <c r="N59" s="9">
        <f>L59-J59</f>
        <v>703</v>
      </c>
      <c r="P59" s="9">
        <v>703</v>
      </c>
      <c r="R59" s="9">
        <f>P59-N59</f>
        <v>0</v>
      </c>
      <c r="T59" s="17" t="s">
        <v>53</v>
      </c>
    </row>
  </sheetData>
  <pageMargins left="0.7" right="0.7" top="0.75" bottom="0.75" header="0.3" footer="0.3"/>
  <pageSetup scale="97" orientation="landscape" r:id="rId1"/>
  <ignoredErrors>
    <ignoredError sqref="R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Allyson Dickey</dc:creator>
  <cp:lastModifiedBy>Microsoft Office User</cp:lastModifiedBy>
  <cp:lastPrinted>2020-09-21T14:50:34Z</cp:lastPrinted>
  <dcterms:created xsi:type="dcterms:W3CDTF">2018-09-18T20:06:45Z</dcterms:created>
  <dcterms:modified xsi:type="dcterms:W3CDTF">2020-11-18T16:37:35Z</dcterms:modified>
</cp:coreProperties>
</file>