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sondickey/Model HOA Dropbox/Allyson Dickey/Board Folders/Red Hawk Ranch - Board Materials/Red Hawk Ranch HOA/Financial/Budgets/"/>
    </mc:Choice>
  </mc:AlternateContent>
  <xr:revisionPtr revIDLastSave="0" documentId="13_ncr:1_{36DDEC9E-55B8-054B-8F30-2FE51FC78EFC}" xr6:coauthVersionLast="47" xr6:coauthVersionMax="47" xr10:uidLastSave="{00000000-0000-0000-0000-000000000000}"/>
  <bookViews>
    <workbookView xWindow="0" yWindow="500" windowWidth="28800" windowHeight="17500" xr2:uid="{93BFEBA9-1F58-DA49-9815-90152AE2B167}"/>
  </bookViews>
  <sheets>
    <sheet name="Budget" sheetId="1" r:id="rId1"/>
    <sheet name="QBO View" sheetId="2" state="hidden" r:id="rId2"/>
  </sheets>
  <definedNames>
    <definedName name="_xlnm.Print_Area" localSheetId="0">Budget!$A$1:$L$79</definedName>
    <definedName name="_xlnm.Print_Area" localSheetId="1">'QBO View'!$A$1:$H$67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" i="1" l="1"/>
  <c r="J66" i="1"/>
  <c r="L17" i="1"/>
  <c r="C11" i="1"/>
  <c r="I44" i="1"/>
  <c r="J44" i="1" s="1"/>
  <c r="C8" i="1" l="1"/>
  <c r="C12" i="1" s="1"/>
  <c r="K73" i="1"/>
  <c r="K54" i="1" l="1"/>
  <c r="L44" i="1"/>
  <c r="L34" i="1"/>
  <c r="L32" i="1"/>
  <c r="J36" i="1"/>
  <c r="J17" i="1"/>
  <c r="D28" i="1"/>
  <c r="E28" i="1"/>
  <c r="F28" i="1"/>
  <c r="G28" i="1"/>
  <c r="H28" i="1"/>
  <c r="I28" i="1"/>
  <c r="C28" i="1"/>
  <c r="I54" i="1"/>
  <c r="G75" i="1"/>
  <c r="G63" i="1"/>
  <c r="G69" i="1" s="1"/>
  <c r="G44" i="1"/>
  <c r="G56" i="1" s="1"/>
  <c r="G63" i="2"/>
  <c r="G65" i="2" s="1"/>
  <c r="G67" i="2" s="1"/>
  <c r="F63" i="2"/>
  <c r="F65" i="2" s="1"/>
  <c r="F67" i="2" s="1"/>
  <c r="E63" i="2"/>
  <c r="E65" i="2" s="1"/>
  <c r="E67" i="2" s="1"/>
  <c r="D63" i="2"/>
  <c r="D65" i="2" s="1"/>
  <c r="D67" i="2" s="1"/>
  <c r="C63" i="2"/>
  <c r="C65" i="2" s="1"/>
  <c r="C67" i="2" s="1"/>
  <c r="G61" i="2"/>
  <c r="G58" i="2"/>
  <c r="F58" i="2"/>
  <c r="E58" i="2"/>
  <c r="D58" i="2"/>
  <c r="C58" i="2"/>
  <c r="G56" i="2"/>
  <c r="G55" i="2"/>
  <c r="F55" i="2"/>
  <c r="G52" i="2"/>
  <c r="F52" i="2"/>
  <c r="G50" i="2"/>
  <c r="F50" i="2"/>
  <c r="E50" i="2"/>
  <c r="D50" i="2"/>
  <c r="C50" i="2"/>
  <c r="G48" i="2"/>
  <c r="F48" i="2"/>
  <c r="E48" i="2"/>
  <c r="D48" i="2"/>
  <c r="C48" i="2"/>
  <c r="G46" i="2"/>
  <c r="G45" i="2"/>
  <c r="G44" i="2"/>
  <c r="F44" i="2"/>
  <c r="E44" i="2"/>
  <c r="D44" i="2"/>
  <c r="C44" i="2"/>
  <c r="G43" i="2"/>
  <c r="G41" i="2"/>
  <c r="G40" i="2"/>
  <c r="G39" i="2"/>
  <c r="G38" i="2"/>
  <c r="F37" i="2"/>
  <c r="E37" i="2"/>
  <c r="D37" i="2"/>
  <c r="C37" i="2"/>
  <c r="G35" i="2"/>
  <c r="G34" i="2"/>
  <c r="G33" i="2"/>
  <c r="G32" i="2"/>
  <c r="G31" i="2"/>
  <c r="G30" i="2"/>
  <c r="G29" i="2"/>
  <c r="G28" i="2"/>
  <c r="G27" i="2"/>
  <c r="G26" i="2"/>
  <c r="C26" i="2"/>
  <c r="G25" i="2"/>
  <c r="F25" i="2"/>
  <c r="C25" i="2"/>
  <c r="G21" i="2"/>
  <c r="F21" i="2"/>
  <c r="E21" i="2"/>
  <c r="D21" i="2"/>
  <c r="C21" i="2"/>
  <c r="G18" i="2"/>
  <c r="G19" i="2"/>
  <c r="G17" i="2"/>
  <c r="G12" i="2"/>
  <c r="G13" i="2"/>
  <c r="G14" i="2"/>
  <c r="G15" i="2"/>
  <c r="G11" i="2"/>
  <c r="G10" i="2"/>
  <c r="G8" i="2"/>
  <c r="G7" i="2"/>
  <c r="D7" i="2"/>
  <c r="E7" i="2"/>
  <c r="F7" i="2"/>
  <c r="D8" i="2"/>
  <c r="E8" i="2"/>
  <c r="F8" i="2"/>
  <c r="C8" i="2"/>
  <c r="C7" i="2"/>
  <c r="H63" i="2"/>
  <c r="H37" i="2"/>
  <c r="H35" i="2"/>
  <c r="H27" i="2" s="1"/>
  <c r="H25" i="2"/>
  <c r="H8" i="2"/>
  <c r="H7" i="2"/>
  <c r="G77" i="1" l="1"/>
  <c r="G37" i="2"/>
  <c r="H48" i="2"/>
  <c r="H10" i="2"/>
  <c r="H21" i="2" s="1"/>
  <c r="H50" i="2" l="1"/>
  <c r="H52" i="2" s="1"/>
  <c r="H55" i="2" s="1"/>
  <c r="H58" i="2" s="1"/>
  <c r="H65" i="2" s="1"/>
  <c r="K72" i="1"/>
  <c r="K67" i="1"/>
  <c r="K53" i="1"/>
  <c r="J52" i="1"/>
  <c r="K52" i="1" s="1"/>
  <c r="J50" i="1"/>
  <c r="K50" i="1" s="1"/>
  <c r="J48" i="1"/>
  <c r="K48" i="1" s="1"/>
  <c r="J47" i="1"/>
  <c r="K47" i="1" s="1"/>
  <c r="J46" i="1"/>
  <c r="K46" i="1" s="1"/>
  <c r="J45" i="1"/>
  <c r="K45" i="1" s="1"/>
  <c r="K41" i="1"/>
  <c r="K39" i="1"/>
  <c r="J38" i="1"/>
  <c r="K38" i="1" s="1"/>
  <c r="J37" i="1"/>
  <c r="K37" i="1" s="1"/>
  <c r="K36" i="1"/>
  <c r="J35" i="1"/>
  <c r="K35" i="1" s="1"/>
  <c r="J33" i="1"/>
  <c r="K33" i="1" s="1"/>
  <c r="K32" i="1"/>
  <c r="K25" i="1"/>
  <c r="K66" i="1"/>
  <c r="K65" i="1"/>
  <c r="J64" i="1"/>
  <c r="K64" i="1" s="1"/>
  <c r="K26" i="1"/>
  <c r="J24" i="1"/>
  <c r="K24" i="1" s="1"/>
  <c r="J23" i="1"/>
  <c r="K23" i="1" s="1"/>
  <c r="J21" i="1"/>
  <c r="K21" i="1" s="1"/>
  <c r="J51" i="1"/>
  <c r="K51" i="1" s="1"/>
  <c r="F51" i="1"/>
  <c r="F44" i="1"/>
  <c r="I75" i="1"/>
  <c r="I69" i="1"/>
  <c r="H75" i="1"/>
  <c r="H69" i="1"/>
  <c r="J18" i="1"/>
  <c r="K18" i="1" s="1"/>
  <c r="K17" i="1" l="1"/>
  <c r="J28" i="1"/>
  <c r="H77" i="1"/>
  <c r="K44" i="1"/>
  <c r="K40" i="1"/>
  <c r="I77" i="1"/>
  <c r="K42" i="1"/>
  <c r="K34" i="1"/>
  <c r="H67" i="2"/>
  <c r="K20" i="1"/>
  <c r="I56" i="1"/>
  <c r="H56" i="1"/>
  <c r="K28" i="1" l="1"/>
  <c r="K75" i="1"/>
  <c r="J56" i="1"/>
  <c r="L75" i="1"/>
  <c r="J75" i="1"/>
  <c r="F75" i="1"/>
  <c r="E75" i="1"/>
  <c r="D75" i="1"/>
  <c r="C75" i="1"/>
  <c r="E69" i="1"/>
  <c r="F63" i="1"/>
  <c r="F69" i="1" s="1"/>
  <c r="D63" i="1"/>
  <c r="D69" i="1" s="1"/>
  <c r="C63" i="1"/>
  <c r="C69" i="1" s="1"/>
  <c r="F56" i="1"/>
  <c r="E56" i="1"/>
  <c r="D56" i="1"/>
  <c r="C56" i="1"/>
  <c r="F77" i="1" l="1"/>
  <c r="D77" i="1"/>
  <c r="C77" i="1"/>
  <c r="K56" i="1"/>
  <c r="E77" i="1"/>
  <c r="L56" i="1"/>
  <c r="L28" i="1" l="1"/>
  <c r="C58" i="1" l="1"/>
  <c r="C79" i="1" s="1"/>
  <c r="G58" i="1"/>
  <c r="G79" i="1" s="1"/>
  <c r="F58" i="1"/>
  <c r="F79" i="1" s="1"/>
  <c r="H58" i="1"/>
  <c r="H79" i="1" s="1"/>
  <c r="D58" i="1"/>
  <c r="D79" i="1" s="1"/>
  <c r="L58" i="1"/>
  <c r="L60" i="1" s="1"/>
  <c r="I58" i="1"/>
  <c r="I79" i="1" s="1"/>
  <c r="E58" i="1"/>
  <c r="E79" i="1" s="1"/>
  <c r="J58" i="1"/>
  <c r="J63" i="1" s="1"/>
  <c r="K63" i="1" s="1"/>
  <c r="K69" i="1" s="1"/>
  <c r="K77" i="1" s="1"/>
  <c r="L63" i="1" l="1"/>
  <c r="L69" i="1" s="1"/>
  <c r="L77" i="1" s="1"/>
  <c r="L79" i="1" s="1"/>
  <c r="K58" i="1"/>
  <c r="J69" i="1"/>
  <c r="J77" i="1" s="1"/>
  <c r="J79" i="1" s="1"/>
  <c r="K60" i="1"/>
  <c r="K79" i="1" l="1"/>
</calcChain>
</file>

<file path=xl/sharedStrings.xml><?xml version="1.0" encoding="utf-8"?>
<sst xmlns="http://schemas.openxmlformats.org/spreadsheetml/2006/main" count="186" uniqueCount="115">
  <si>
    <t>Insurance</t>
  </si>
  <si>
    <t>Interest</t>
  </si>
  <si>
    <t>Late Fees</t>
  </si>
  <si>
    <t>2017 ACTUAL</t>
  </si>
  <si>
    <t>2018 ACTUAL</t>
  </si>
  <si>
    <t>2019 ACTUAL</t>
  </si>
  <si>
    <t>Engineering</t>
  </si>
  <si>
    <t>Legal</t>
  </si>
  <si>
    <t>Accounting</t>
  </si>
  <si>
    <t>Finance Charges</t>
  </si>
  <si>
    <t>NOTES</t>
  </si>
  <si>
    <t>Quarterly Dues</t>
  </si>
  <si>
    <t>Architectural Review Fee</t>
  </si>
  <si>
    <t>Road Fee</t>
  </si>
  <si>
    <t>Gate Fee</t>
  </si>
  <si>
    <t>New Member Fee</t>
  </si>
  <si>
    <t>Silver Creek Road Dues</t>
  </si>
  <si>
    <t>Snow Removal</t>
  </si>
  <si>
    <t>Salt &amp; Sand</t>
  </si>
  <si>
    <t>Silver Creek Road Contribution</t>
  </si>
  <si>
    <t>Entry Gate Maintenance &amp; Repair</t>
  </si>
  <si>
    <t>Architectural Services</t>
  </si>
  <si>
    <t>Website</t>
  </si>
  <si>
    <t>VARIANCE</t>
  </si>
  <si>
    <t>Administrative</t>
  </si>
  <si>
    <t>Reserve Contribution</t>
  </si>
  <si>
    <t>RESERVE INCOME</t>
  </si>
  <si>
    <t>OPERATING INCOME</t>
  </si>
  <si>
    <t>TOTAL OPERATING INCOME</t>
  </si>
  <si>
    <t>OPERATING EXPENSES</t>
  </si>
  <si>
    <t>16.5 Road Maintenance</t>
  </si>
  <si>
    <t>Gate Remote Fee</t>
  </si>
  <si>
    <t>Professional Fees</t>
  </si>
  <si>
    <t>New Construction / Member Fees</t>
  </si>
  <si>
    <t>Other Income</t>
  </si>
  <si>
    <t>Interest Income</t>
  </si>
  <si>
    <t>TOTAL RESERVE INCOME</t>
  </si>
  <si>
    <t>RESERVE EXPENSES</t>
  </si>
  <si>
    <t>Reserve Expenses</t>
  </si>
  <si>
    <t>TOTAL RESERVE EXPENSES</t>
  </si>
  <si>
    <t>TOTAL OPERATING EXPENSES</t>
  </si>
  <si>
    <t>NET OPERATING SURPLUS / (DEFICIT)</t>
  </si>
  <si>
    <t>NET RESERVE SURPLUS / (DEFICIT)</t>
  </si>
  <si>
    <t>TOTAL SURPLUS / (DEFICIT)</t>
  </si>
  <si>
    <t>Permits</t>
  </si>
  <si>
    <t>Quarterly Fees</t>
  </si>
  <si>
    <t>Entry Gate Electric</t>
  </si>
  <si>
    <t>$75 per quarter per lot (23)</t>
  </si>
  <si>
    <t>1/22 of total road maintenance</t>
  </si>
  <si>
    <t>Estimate</t>
  </si>
  <si>
    <t>Weed Remediation</t>
  </si>
  <si>
    <t>Management Services</t>
  </si>
  <si>
    <t>None anticipated</t>
  </si>
  <si>
    <t>Wratten in 2020</t>
  </si>
  <si>
    <t>Bruce Taylor is project review architect</t>
  </si>
  <si>
    <t>Wratten in 2020. Construction deposit will be refunded in 2021 once home is completed. This refund will be reflected on the balance sheet.</t>
  </si>
  <si>
    <t>Red Hawk Ranch Owners Association 2022 Budget</t>
  </si>
  <si>
    <t>2020 ACTUAL</t>
  </si>
  <si>
    <t>2022 BUDGET</t>
  </si>
  <si>
    <t>Road Improvements</t>
  </si>
  <si>
    <t>Road Maintenance &amp; Repair</t>
  </si>
  <si>
    <t>Guardrail Maintenance &amp; Repair</t>
  </si>
  <si>
    <t>Dumpster Service</t>
  </si>
  <si>
    <t>Maintenance</t>
  </si>
  <si>
    <t>Sign Repair, Maint., Replacement</t>
  </si>
  <si>
    <t>Actuals plus 5% price increase</t>
  </si>
  <si>
    <t>Same as 2021 budget</t>
  </si>
  <si>
    <t>Small allocation if needed</t>
  </si>
  <si>
    <t>Crack seal + allottment for patching</t>
  </si>
  <si>
    <t>Estimate if dumpster stays in place</t>
  </si>
  <si>
    <t>Based on contract</t>
  </si>
  <si>
    <t>Slight decrease over 2021 budget</t>
  </si>
  <si>
    <t>Printing, postage, corporate renewal, meetings, gate remotes</t>
  </si>
  <si>
    <t>Slight increase over 2021 budget</t>
  </si>
  <si>
    <t>Keep dues at $750 per quarter per lot (23) for 2022</t>
  </si>
  <si>
    <t>Reduced by dumpster cost</t>
  </si>
  <si>
    <t>May increase depending on snow removal</t>
  </si>
  <si>
    <t>Quarter 1 (January 1st)</t>
  </si>
  <si>
    <t>Quarter 2 (April 1st)</t>
  </si>
  <si>
    <t>Quarter 3 (July 1st)</t>
  </si>
  <si>
    <t>TOTAL</t>
  </si>
  <si>
    <t>Quarter 4 (October 1st)</t>
  </si>
  <si>
    <t>Red Hawk Ranch Owners Association 2023 Budget</t>
  </si>
  <si>
    <t>2021 Actual</t>
  </si>
  <si>
    <t>2022 YTD Plus Anticipated</t>
  </si>
  <si>
    <t>2023 BUDGET</t>
  </si>
  <si>
    <t>Violation Fines</t>
  </si>
  <si>
    <t>Quickbooks Payments Fees</t>
  </si>
  <si>
    <t>* Owner vote required if dues increase &gt;15%</t>
  </si>
  <si>
    <t>New Member/Reinvestment Fees</t>
  </si>
  <si>
    <t>New Construction Road Fees</t>
  </si>
  <si>
    <t>1/22 of total road maintenance capped at $2,800</t>
  </si>
  <si>
    <t>Crack seal + allottment for patching and roadside shoulder repairs</t>
  </si>
  <si>
    <t>Same as last year's budget</t>
  </si>
  <si>
    <t>Increased based on actuals</t>
  </si>
  <si>
    <t>Quickbooks fees for owners paying via Quickbooks</t>
  </si>
  <si>
    <t>Inputs</t>
  </si>
  <si>
    <t># of lots</t>
  </si>
  <si>
    <t># of quarters</t>
  </si>
  <si>
    <t>2022 dues amount / quarter / lot</t>
  </si>
  <si>
    <t>2023 dues amount / quarter / lot</t>
  </si>
  <si>
    <t>% increase</t>
  </si>
  <si>
    <t>Road seal coat needed in 2024 or 2025</t>
  </si>
  <si>
    <t>Reserve Study</t>
  </si>
  <si>
    <t>Next reserve study needed in 2024</t>
  </si>
  <si>
    <t>Reduced by dumpster cost, could increase pending dispute with SA3</t>
  </si>
  <si>
    <t>2022 YTD ACTUAL 
(Jan-Sep)</t>
  </si>
  <si>
    <t>2023 silver creek road dues dues amount / quarter / lot</t>
  </si>
  <si>
    <t>2023 total dues / quarter / lot</t>
  </si>
  <si>
    <t>Reserve Contribution (recommended is $68,548)</t>
  </si>
  <si>
    <t>Reserve study recommends $68,548</t>
  </si>
  <si>
    <t>$1,000 per lot per quarter</t>
  </si>
  <si>
    <t>Combined with quarterly dues</t>
  </si>
  <si>
    <t>New Construction Gate Fees</t>
  </si>
  <si>
    <t>Richey, Huser and Calodney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</si>
</sst>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rgb="FF323232"/>
      <name val="Arial"/>
      <family val="2"/>
    </font>
    <font>
      <sz val="12"/>
      <color theme="1"/>
      <name val="Calibri"/>
      <family val="2"/>
      <scheme val="minor"/>
    </font>
    <font>
      <sz val="12"/>
      <color rgb="FF323232"/>
      <name val="Arial"/>
      <family val="2"/>
    </font>
    <font>
      <i/>
      <sz val="12"/>
      <color rgb="FF32323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0" fillId="0" borderId="0" xfId="0" applyFont="1"/>
    <xf numFmtId="0" fontId="0" fillId="0" borderId="0" xfId="0" applyFont="1" applyBorder="1"/>
    <xf numFmtId="49" fontId="1" fillId="0" borderId="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indent="3"/>
    </xf>
    <xf numFmtId="165" fontId="3" fillId="0" borderId="0" xfId="2" applyNumberFormat="1" applyFont="1"/>
    <xf numFmtId="164" fontId="3" fillId="0" borderId="0" xfId="1" applyNumberFormat="1" applyFont="1"/>
    <xf numFmtId="165" fontId="1" fillId="0" borderId="1" xfId="2" applyNumberFormat="1" applyFont="1" applyBorder="1"/>
    <xf numFmtId="165" fontId="1" fillId="0" borderId="0" xfId="2" applyNumberFormat="1" applyFont="1" applyBorder="1"/>
    <xf numFmtId="39" fontId="3" fillId="0" borderId="0" xfId="0" applyNumberFormat="1" applyFont="1" applyBorder="1"/>
    <xf numFmtId="39" fontId="3" fillId="0" borderId="0" xfId="0" applyNumberFormat="1" applyFont="1"/>
    <xf numFmtId="49" fontId="3" fillId="0" borderId="0" xfId="0" applyNumberFormat="1" applyFont="1" applyAlignment="1">
      <alignment horizontal="left" indent="2"/>
    </xf>
    <xf numFmtId="165" fontId="1" fillId="0" borderId="2" xfId="2" applyNumberFormat="1" applyFont="1" applyBorder="1"/>
    <xf numFmtId="164" fontId="1" fillId="0" borderId="0" xfId="1" applyNumberFormat="1" applyFont="1"/>
    <xf numFmtId="0" fontId="4" fillId="0" borderId="0" xfId="0" applyNumberFormat="1" applyFont="1"/>
    <xf numFmtId="49" fontId="1" fillId="0" borderId="0" xfId="0" applyNumberFormat="1" applyFont="1" applyAlignment="1">
      <alignment horizontal="left"/>
    </xf>
    <xf numFmtId="0" fontId="5" fillId="0" borderId="0" xfId="0" applyFont="1"/>
    <xf numFmtId="49" fontId="3" fillId="0" borderId="0" xfId="0" applyNumberFormat="1" applyFont="1" applyAlignment="1">
      <alignment horizontal="left" indent="4"/>
    </xf>
    <xf numFmtId="49" fontId="1" fillId="2" borderId="0" xfId="0" applyNumberFormat="1" applyFont="1" applyFill="1" applyAlignment="1">
      <alignment horizontal="left" indent="3"/>
    </xf>
    <xf numFmtId="0" fontId="0" fillId="2" borderId="0" xfId="0" applyFont="1" applyFill="1"/>
    <xf numFmtId="164" fontId="3" fillId="2" borderId="0" xfId="1" applyNumberFormat="1" applyFont="1" applyFill="1"/>
    <xf numFmtId="165" fontId="3" fillId="2" borderId="0" xfId="2" applyNumberFormat="1" applyFont="1" applyFill="1"/>
    <xf numFmtId="0" fontId="5" fillId="2" borderId="0" xfId="0" applyFont="1" applyFill="1"/>
    <xf numFmtId="49" fontId="1" fillId="2" borderId="0" xfId="0" applyNumberFormat="1" applyFont="1" applyFill="1" applyAlignment="1">
      <alignment horizontal="left" indent="2"/>
    </xf>
    <xf numFmtId="0" fontId="5" fillId="0" borderId="0" xfId="0" applyFont="1" applyFill="1"/>
    <xf numFmtId="165" fontId="3" fillId="0" borderId="0" xfId="2" applyNumberFormat="1" applyFont="1" applyFill="1"/>
    <xf numFmtId="165" fontId="0" fillId="0" borderId="0" xfId="0" applyNumberFormat="1" applyFont="1"/>
    <xf numFmtId="43" fontId="0" fillId="0" borderId="0" xfId="0" applyNumberFormat="1" applyFont="1"/>
    <xf numFmtId="164" fontId="3" fillId="0" borderId="0" xfId="1" applyNumberFormat="1" applyFont="1" applyFill="1"/>
    <xf numFmtId="49" fontId="3" fillId="0" borderId="0" xfId="0" applyNumberFormat="1" applyFont="1" applyFill="1" applyAlignment="1">
      <alignment horizontal="left" indent="3"/>
    </xf>
    <xf numFmtId="44" fontId="3" fillId="0" borderId="0" xfId="2" applyNumberFormat="1" applyFont="1" applyFill="1"/>
    <xf numFmtId="44" fontId="3" fillId="0" borderId="0" xfId="1" applyNumberFormat="1" applyFont="1"/>
    <xf numFmtId="43" fontId="3" fillId="0" borderId="0" xfId="1" applyNumberFormat="1" applyFont="1" applyFill="1"/>
    <xf numFmtId="43" fontId="3" fillId="0" borderId="0" xfId="1" applyNumberFormat="1" applyFont="1"/>
    <xf numFmtId="49" fontId="3" fillId="0" borderId="0" xfId="0" quotePrefix="1" applyNumberFormat="1" applyFont="1"/>
    <xf numFmtId="49" fontId="3" fillId="0" borderId="0" xfId="0" applyNumberFormat="1" applyFont="1"/>
    <xf numFmtId="0" fontId="5" fillId="0" borderId="0" xfId="0" applyFont="1" applyBorder="1"/>
    <xf numFmtId="165" fontId="5" fillId="0" borderId="0" xfId="0" applyNumberFormat="1" applyFont="1" applyBorder="1"/>
    <xf numFmtId="9" fontId="5" fillId="0" borderId="0" xfId="3" applyFont="1" applyBorder="1"/>
    <xf numFmtId="43" fontId="0" fillId="0" borderId="0" xfId="0" applyNumberFormat="1" applyFont="1" applyBorder="1"/>
    <xf numFmtId="165" fontId="0" fillId="0" borderId="0" xfId="0" applyNumberFormat="1" applyFont="1" applyBorder="1"/>
    <xf numFmtId="165" fontId="1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CD5A4E-B7A1-E94C-A867-86490C69ADB6}"/>
            </a:ext>
          </a:extLst>
        </xdr:cNvPr>
        <xdr:cNvSpPr/>
      </xdr:nvSpPr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B6AC14-AC60-A941-8E1E-3D8C8E1D79C8}"/>
            </a:ext>
          </a:extLst>
        </xdr:cNvPr>
        <xdr:cNvSpPr/>
      </xdr:nvSpPr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121E1102-BCF1-8A43-ADA3-D18C0FBF11A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EA6B15C-9EE8-7740-9923-D8BAADE35A1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BF46F18-B917-B248-8327-5E616706322D}"/>
            </a:ext>
          </a:extLst>
        </xdr:cNvPr>
        <xdr:cNvSpPr/>
      </xdr:nvSpPr>
      <xdr:spPr bwMode="auto">
        <a:xfrm>
          <a:off x="0" y="0"/>
          <a:ext cx="43488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44EF82-4F1E-104D-9E2A-5C97269E1926}"/>
            </a:ext>
          </a:extLst>
        </xdr:cNvPr>
        <xdr:cNvSpPr/>
      </xdr:nvSpPr>
      <xdr:spPr bwMode="auto">
        <a:xfrm>
          <a:off x="0" y="0"/>
          <a:ext cx="43488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8B65C2C9-ECB1-024F-B8FA-6E17DAF26D9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88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F28E6B9-6378-EA4F-A9EA-5B7EF73ABFD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88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17BC-2A19-A54B-B720-80D48A96E8B9}">
  <sheetPr>
    <pageSetUpPr fitToPage="1"/>
  </sheetPr>
  <dimension ref="A1:N79"/>
  <sheetViews>
    <sheetView showGridLines="0" tabSelected="1" zoomScale="110" zoomScaleNormal="110" workbookViewId="0">
      <pane xSplit="2" ySplit="15" topLeftCell="C61" activePane="bottomRight" state="frozen"/>
      <selection pane="topRight" activeCell="D1" sqref="D1"/>
      <selection pane="bottomLeft" activeCell="A6" sqref="A6"/>
      <selection pane="bottomRight" activeCell="J65" sqref="J65"/>
    </sheetView>
  </sheetViews>
  <sheetFormatPr baseColWidth="10" defaultColWidth="10.6640625" defaultRowHeight="16" x14ac:dyDescent="0.2"/>
  <cols>
    <col min="1" max="1" width="3" style="3" customWidth="1"/>
    <col min="2" max="2" width="46.83203125" style="3" customWidth="1"/>
    <col min="3" max="11" width="14.6640625" style="4" customWidth="1"/>
    <col min="12" max="12" width="14.6640625" style="4" bestFit="1" customWidth="1"/>
    <col min="13" max="13" width="44.6640625" style="4" customWidth="1"/>
    <col min="14" max="16384" width="10.6640625" style="4"/>
  </cols>
  <sheetData>
    <row r="1" spans="1:13" x14ac:dyDescent="0.2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2">
      <c r="A2" s="1"/>
      <c r="B2" s="37" t="s">
        <v>88</v>
      </c>
      <c r="H2" s="29"/>
      <c r="L2" s="29"/>
    </row>
    <row r="3" spans="1:13" x14ac:dyDescent="0.2">
      <c r="A3" s="1"/>
      <c r="B3" s="1"/>
      <c r="C3" s="5"/>
      <c r="D3" s="5"/>
      <c r="E3" s="5"/>
      <c r="F3" s="5"/>
      <c r="G3" s="5"/>
      <c r="H3" s="5"/>
      <c r="I3" s="5"/>
      <c r="K3" s="5"/>
      <c r="L3" s="5"/>
    </row>
    <row r="4" spans="1:13" x14ac:dyDescent="0.2">
      <c r="A4" s="1"/>
      <c r="B4" s="1" t="s">
        <v>96</v>
      </c>
      <c r="C4" s="5"/>
      <c r="D4" s="5"/>
      <c r="E4" s="5"/>
      <c r="F4" s="5"/>
      <c r="G4" s="5"/>
      <c r="H4" s="5"/>
      <c r="I4" s="5"/>
      <c r="K4" s="5"/>
      <c r="L4" s="5"/>
    </row>
    <row r="5" spans="1:13" x14ac:dyDescent="0.2">
      <c r="A5" s="1"/>
      <c r="B5" s="38" t="s">
        <v>97</v>
      </c>
      <c r="C5" s="39">
        <v>23</v>
      </c>
      <c r="D5" s="5"/>
      <c r="E5" s="5"/>
      <c r="F5" s="5"/>
      <c r="G5" s="5"/>
      <c r="H5" s="5"/>
      <c r="I5" s="5"/>
      <c r="K5" s="5"/>
      <c r="L5" s="5"/>
    </row>
    <row r="6" spans="1:13" x14ac:dyDescent="0.2">
      <c r="A6" s="1"/>
      <c r="B6" s="38" t="s">
        <v>98</v>
      </c>
      <c r="C6" s="39">
        <v>4</v>
      </c>
      <c r="D6" s="5"/>
      <c r="E6" s="5"/>
      <c r="F6" s="5"/>
      <c r="G6" s="5"/>
      <c r="H6" s="5"/>
      <c r="I6" s="5"/>
      <c r="K6" s="5"/>
      <c r="L6" s="5"/>
    </row>
    <row r="7" spans="1:13" x14ac:dyDescent="0.2">
      <c r="A7" s="1"/>
      <c r="B7" s="38" t="s">
        <v>109</v>
      </c>
      <c r="C7" s="28">
        <v>13215.479999999996</v>
      </c>
      <c r="D7" s="5"/>
      <c r="E7" s="5"/>
      <c r="F7" s="5"/>
      <c r="G7" s="5"/>
      <c r="H7" s="5"/>
      <c r="I7" s="5"/>
      <c r="K7" s="5"/>
      <c r="L7" s="5"/>
    </row>
    <row r="8" spans="1:13" x14ac:dyDescent="0.2">
      <c r="A8" s="1"/>
      <c r="B8" s="38" t="s">
        <v>99</v>
      </c>
      <c r="C8" s="8">
        <f>(H17+H18)/C5/C6</f>
        <v>825</v>
      </c>
      <c r="D8" s="43"/>
      <c r="E8" s="5"/>
      <c r="F8" s="5"/>
      <c r="G8" s="5"/>
      <c r="H8" s="5"/>
      <c r="I8" s="5"/>
      <c r="K8" s="5"/>
      <c r="L8" s="5"/>
    </row>
    <row r="9" spans="1:13" x14ac:dyDescent="0.2">
      <c r="A9" s="1"/>
      <c r="B9" s="38" t="s">
        <v>100</v>
      </c>
      <c r="C9" s="40">
        <v>925</v>
      </c>
      <c r="D9" s="5"/>
      <c r="E9" s="5"/>
      <c r="F9" s="5"/>
      <c r="G9" s="5"/>
      <c r="H9" s="42"/>
      <c r="I9" s="5"/>
      <c r="K9" s="5"/>
      <c r="L9" s="5"/>
    </row>
    <row r="10" spans="1:13" x14ac:dyDescent="0.2">
      <c r="A10" s="1"/>
      <c r="B10" s="38" t="s">
        <v>107</v>
      </c>
      <c r="C10" s="40">
        <v>75</v>
      </c>
      <c r="D10" s="5"/>
      <c r="E10" s="5"/>
      <c r="F10" s="5"/>
      <c r="G10" s="5"/>
      <c r="H10" s="42"/>
      <c r="I10" s="5"/>
      <c r="K10" s="5"/>
      <c r="L10" s="5"/>
    </row>
    <row r="11" spans="1:13" x14ac:dyDescent="0.2">
      <c r="A11" s="1"/>
      <c r="B11" s="38" t="s">
        <v>108</v>
      </c>
      <c r="C11" s="40">
        <f>C9+C10</f>
        <v>1000</v>
      </c>
      <c r="D11" s="5"/>
      <c r="E11" s="5"/>
      <c r="F11" s="5"/>
      <c r="G11" s="5"/>
      <c r="H11" s="42"/>
      <c r="I11" s="5"/>
      <c r="K11" s="5"/>
      <c r="L11" s="5"/>
    </row>
    <row r="12" spans="1:13" x14ac:dyDescent="0.2">
      <c r="A12" s="1"/>
      <c r="B12" s="38" t="s">
        <v>101</v>
      </c>
      <c r="C12" s="41">
        <f>(C11-C8)/C8</f>
        <v>0.21212121212121213</v>
      </c>
      <c r="D12" s="5"/>
      <c r="E12" s="5"/>
      <c r="F12" s="5"/>
      <c r="G12" s="5"/>
      <c r="H12" s="5"/>
      <c r="I12" s="5"/>
      <c r="K12" s="5"/>
      <c r="L12" s="5"/>
    </row>
    <row r="13" spans="1:13" x14ac:dyDescent="0.2">
      <c r="A13" s="1"/>
      <c r="B13" s="1"/>
      <c r="C13" s="5"/>
      <c r="D13" s="5"/>
      <c r="E13" s="5"/>
      <c r="F13" s="5"/>
      <c r="G13" s="5"/>
      <c r="H13" s="5"/>
      <c r="I13" s="5"/>
      <c r="K13" s="5"/>
      <c r="L13" s="5"/>
    </row>
    <row r="14" spans="1:13" ht="52" thickBot="1" x14ac:dyDescent="0.25">
      <c r="A14" s="2"/>
      <c r="B14" s="2"/>
      <c r="C14" s="6" t="s">
        <v>3</v>
      </c>
      <c r="D14" s="6" t="s">
        <v>4</v>
      </c>
      <c r="E14" s="6" t="s">
        <v>5</v>
      </c>
      <c r="F14" s="6" t="s">
        <v>57</v>
      </c>
      <c r="G14" s="6" t="s">
        <v>83</v>
      </c>
      <c r="H14" s="6" t="s">
        <v>58</v>
      </c>
      <c r="I14" s="6" t="s">
        <v>106</v>
      </c>
      <c r="J14" s="6" t="s">
        <v>84</v>
      </c>
      <c r="K14" s="6" t="s">
        <v>23</v>
      </c>
      <c r="L14" s="6" t="s">
        <v>85</v>
      </c>
      <c r="M14" s="6" t="s">
        <v>10</v>
      </c>
    </row>
    <row r="15" spans="1:13" x14ac:dyDescent="0.2">
      <c r="A15" s="1"/>
      <c r="B15" s="1" t="s">
        <v>27</v>
      </c>
    </row>
    <row r="16" spans="1:13" x14ac:dyDescent="0.2">
      <c r="A16" s="1"/>
      <c r="B16" s="21" t="s">
        <v>45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4" x14ac:dyDescent="0.2">
      <c r="A17" s="1"/>
      <c r="B17" s="20" t="s">
        <v>11</v>
      </c>
      <c r="C17" s="8">
        <v>55000</v>
      </c>
      <c r="D17" s="8">
        <v>55625</v>
      </c>
      <c r="E17" s="8">
        <v>57500</v>
      </c>
      <c r="F17" s="8">
        <v>57500</v>
      </c>
      <c r="G17" s="8">
        <v>69000</v>
      </c>
      <c r="H17" s="28">
        <v>69000</v>
      </c>
      <c r="I17" s="44">
        <v>51750</v>
      </c>
      <c r="J17" s="8">
        <f>I17+(750*23)</f>
        <v>69000</v>
      </c>
      <c r="K17" s="8">
        <f>J17-H17</f>
        <v>0</v>
      </c>
      <c r="L17" s="28">
        <f>C11*C5*C6</f>
        <v>92000</v>
      </c>
      <c r="M17" s="19" t="s">
        <v>111</v>
      </c>
    </row>
    <row r="18" spans="1:14" x14ac:dyDescent="0.2">
      <c r="A18" s="1"/>
      <c r="B18" s="20" t="s">
        <v>16</v>
      </c>
      <c r="C18" s="9">
        <v>6600</v>
      </c>
      <c r="D18" s="9">
        <v>6675</v>
      </c>
      <c r="E18" s="9">
        <v>6900</v>
      </c>
      <c r="F18" s="9">
        <v>6900</v>
      </c>
      <c r="G18" s="9">
        <v>6900</v>
      </c>
      <c r="H18" s="9">
        <v>6900</v>
      </c>
      <c r="I18" s="16">
        <v>5175</v>
      </c>
      <c r="J18" s="9">
        <f>I18+(H18-I18)</f>
        <v>6900</v>
      </c>
      <c r="K18" s="9">
        <f>J18-H18</f>
        <v>0</v>
      </c>
      <c r="L18" s="9">
        <v>0</v>
      </c>
      <c r="M18" s="19" t="s">
        <v>112</v>
      </c>
      <c r="N18" s="29"/>
    </row>
    <row r="19" spans="1:14" x14ac:dyDescent="0.2">
      <c r="A19" s="1"/>
      <c r="B19" s="21" t="s">
        <v>34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5"/>
      <c r="N19" s="29"/>
    </row>
    <row r="20" spans="1:14" x14ac:dyDescent="0.2">
      <c r="A20" s="1"/>
      <c r="B20" s="20" t="s">
        <v>30</v>
      </c>
      <c r="C20" s="9">
        <v>1872.49</v>
      </c>
      <c r="D20" s="9">
        <v>3003</v>
      </c>
      <c r="E20" s="9">
        <v>1378.68</v>
      </c>
      <c r="F20" s="9">
        <v>2319.86</v>
      </c>
      <c r="G20" s="9">
        <v>2800</v>
      </c>
      <c r="H20" s="9">
        <v>2043</v>
      </c>
      <c r="I20" s="9">
        <v>0</v>
      </c>
      <c r="J20" s="9">
        <v>2043</v>
      </c>
      <c r="K20" s="9">
        <f>J20-H20</f>
        <v>0</v>
      </c>
      <c r="L20" s="31">
        <v>2800</v>
      </c>
      <c r="M20" s="19" t="s">
        <v>91</v>
      </c>
    </row>
    <row r="21" spans="1:14" x14ac:dyDescent="0.2">
      <c r="A21" s="1"/>
      <c r="B21" s="20" t="s">
        <v>12</v>
      </c>
      <c r="C21" s="9">
        <v>500</v>
      </c>
      <c r="D21" s="9">
        <v>500</v>
      </c>
      <c r="E21" s="9">
        <v>406.25</v>
      </c>
      <c r="F21" s="9">
        <v>0</v>
      </c>
      <c r="G21" s="9">
        <v>0</v>
      </c>
      <c r="H21" s="9">
        <v>0</v>
      </c>
      <c r="I21" s="9">
        <v>0</v>
      </c>
      <c r="J21" s="9">
        <f>I21+0</f>
        <v>0</v>
      </c>
      <c r="K21" s="9">
        <f>J21-H21</f>
        <v>0</v>
      </c>
      <c r="L21" s="9">
        <v>0</v>
      </c>
      <c r="M21" s="19"/>
    </row>
    <row r="22" spans="1:14" x14ac:dyDescent="0.2">
      <c r="A22" s="1"/>
      <c r="B22" s="20" t="s">
        <v>86</v>
      </c>
      <c r="C22" s="9">
        <v>0</v>
      </c>
      <c r="D22" s="9">
        <v>0</v>
      </c>
      <c r="E22" s="9">
        <v>0</v>
      </c>
      <c r="F22" s="9">
        <v>0</v>
      </c>
      <c r="G22" s="9">
        <v>500</v>
      </c>
      <c r="H22" s="9">
        <v>0</v>
      </c>
      <c r="I22" s="16">
        <v>-500</v>
      </c>
      <c r="J22" s="9">
        <v>0</v>
      </c>
      <c r="K22" s="9"/>
      <c r="L22" s="9">
        <v>0</v>
      </c>
      <c r="M22" s="19"/>
    </row>
    <row r="23" spans="1:14" x14ac:dyDescent="0.2">
      <c r="A23" s="1"/>
      <c r="B23" s="20" t="s">
        <v>2</v>
      </c>
      <c r="C23" s="9">
        <v>400</v>
      </c>
      <c r="D23" s="9">
        <v>600</v>
      </c>
      <c r="E23" s="9">
        <v>300</v>
      </c>
      <c r="F23" s="9">
        <v>200</v>
      </c>
      <c r="G23" s="9">
        <v>200</v>
      </c>
      <c r="H23" s="9">
        <v>0</v>
      </c>
      <c r="I23" s="16">
        <v>500</v>
      </c>
      <c r="J23" s="9">
        <f>I23+0</f>
        <v>500</v>
      </c>
      <c r="K23" s="9">
        <f>J23-H23</f>
        <v>500</v>
      </c>
      <c r="L23" s="9">
        <v>0</v>
      </c>
      <c r="M23" s="19"/>
    </row>
    <row r="24" spans="1:14" x14ac:dyDescent="0.2">
      <c r="A24" s="1"/>
      <c r="B24" s="20" t="s">
        <v>9</v>
      </c>
      <c r="C24" s="9">
        <v>213.95</v>
      </c>
      <c r="D24" s="9">
        <v>39</v>
      </c>
      <c r="E24" s="9">
        <v>44.95</v>
      </c>
      <c r="F24" s="9">
        <v>12</v>
      </c>
      <c r="G24" s="9">
        <v>0</v>
      </c>
      <c r="H24" s="9">
        <v>0</v>
      </c>
      <c r="I24" s="9">
        <v>0</v>
      </c>
      <c r="J24" s="9">
        <f>I24+0</f>
        <v>0</v>
      </c>
      <c r="K24" s="9">
        <f>J24-H24</f>
        <v>0</v>
      </c>
      <c r="L24" s="9">
        <v>0</v>
      </c>
      <c r="M24" s="19"/>
    </row>
    <row r="25" spans="1:14" x14ac:dyDescent="0.2">
      <c r="A25" s="1"/>
      <c r="B25" s="20" t="s">
        <v>1</v>
      </c>
      <c r="C25" s="9">
        <v>463.89</v>
      </c>
      <c r="D25" s="9">
        <v>111</v>
      </c>
      <c r="E25" s="9">
        <v>200.6</v>
      </c>
      <c r="F25" s="9">
        <v>74.37</v>
      </c>
      <c r="G25" s="9">
        <v>41.69</v>
      </c>
      <c r="H25" s="9">
        <v>0</v>
      </c>
      <c r="I25" s="16">
        <v>28.6</v>
      </c>
      <c r="J25" s="9">
        <v>35</v>
      </c>
      <c r="K25" s="9">
        <f>J25-H25</f>
        <v>35</v>
      </c>
      <c r="L25" s="9">
        <v>0</v>
      </c>
      <c r="M25" s="19"/>
    </row>
    <row r="26" spans="1:14" x14ac:dyDescent="0.2">
      <c r="A26" s="1"/>
      <c r="B26" s="20" t="s">
        <v>31</v>
      </c>
      <c r="C26" s="9">
        <v>157.5</v>
      </c>
      <c r="D26" s="9">
        <v>0</v>
      </c>
      <c r="E26" s="9">
        <v>456.28</v>
      </c>
      <c r="F26" s="9">
        <v>171.44</v>
      </c>
      <c r="G26" s="9">
        <v>25</v>
      </c>
      <c r="H26" s="9">
        <v>0</v>
      </c>
      <c r="I26" s="16">
        <v>150</v>
      </c>
      <c r="J26" s="9">
        <v>150</v>
      </c>
      <c r="K26" s="9">
        <f>J26-H26</f>
        <v>150</v>
      </c>
      <c r="L26" s="9">
        <v>0</v>
      </c>
      <c r="M26" s="19"/>
    </row>
    <row r="27" spans="1:14" ht="8" customHeight="1" x14ac:dyDescent="0.2">
      <c r="A27" s="1"/>
      <c r="B27" s="7"/>
      <c r="C27" s="9"/>
      <c r="D27" s="9"/>
      <c r="E27" s="9"/>
      <c r="F27" s="9"/>
      <c r="G27" s="9"/>
      <c r="H27" s="9"/>
      <c r="I27" s="9"/>
      <c r="J27" s="9"/>
      <c r="K27" s="9"/>
      <c r="L27" s="9"/>
      <c r="N27" s="9"/>
    </row>
    <row r="28" spans="1:14" x14ac:dyDescent="0.2">
      <c r="A28" s="1"/>
      <c r="B28" s="1" t="s">
        <v>28</v>
      </c>
      <c r="C28" s="15">
        <f>SUM(C16:C27)</f>
        <v>65207.829999999994</v>
      </c>
      <c r="D28" s="15">
        <f t="shared" ref="D28:L28" si="0">SUM(D16:D27)</f>
        <v>66553</v>
      </c>
      <c r="E28" s="15">
        <f t="shared" si="0"/>
        <v>67186.759999999995</v>
      </c>
      <c r="F28" s="15">
        <f t="shared" si="0"/>
        <v>67177.67</v>
      </c>
      <c r="G28" s="15">
        <f t="shared" si="0"/>
        <v>79466.69</v>
      </c>
      <c r="H28" s="15">
        <f t="shared" si="0"/>
        <v>77943</v>
      </c>
      <c r="I28" s="15">
        <f t="shared" si="0"/>
        <v>57103.6</v>
      </c>
      <c r="J28" s="15">
        <f t="shared" si="0"/>
        <v>78628</v>
      </c>
      <c r="K28" s="15">
        <f t="shared" si="0"/>
        <v>685</v>
      </c>
      <c r="L28" s="15">
        <f t="shared" si="0"/>
        <v>94800</v>
      </c>
    </row>
    <row r="29" spans="1:14" x14ac:dyDescent="0.2">
      <c r="A29" s="1"/>
      <c r="B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N29" s="9"/>
    </row>
    <row r="30" spans="1:14" x14ac:dyDescent="0.2">
      <c r="A30" s="1"/>
      <c r="B30" s="1" t="s">
        <v>29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N30" s="9"/>
    </row>
    <row r="31" spans="1:14" x14ac:dyDescent="0.2">
      <c r="A31" s="1"/>
      <c r="B31" s="26" t="s">
        <v>63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9"/>
    </row>
    <row r="32" spans="1:14" x14ac:dyDescent="0.2">
      <c r="A32" s="1"/>
      <c r="B32" s="7" t="s">
        <v>17</v>
      </c>
      <c r="C32" s="9">
        <v>27295</v>
      </c>
      <c r="D32" s="9">
        <v>10093</v>
      </c>
      <c r="E32" s="9">
        <v>24060</v>
      </c>
      <c r="F32" s="9">
        <v>31988.2</v>
      </c>
      <c r="G32" s="9">
        <v>23915.63</v>
      </c>
      <c r="H32" s="9">
        <v>30450</v>
      </c>
      <c r="I32" s="16">
        <v>20661.080000000002</v>
      </c>
      <c r="J32" s="9">
        <v>30450</v>
      </c>
      <c r="K32" s="9">
        <f t="shared" ref="K32:K42" si="1">J32-H32</f>
        <v>0</v>
      </c>
      <c r="L32" s="9">
        <f>H32*1.05</f>
        <v>31972.5</v>
      </c>
      <c r="M32" s="19" t="s">
        <v>65</v>
      </c>
      <c r="N32" s="9"/>
    </row>
    <row r="33" spans="1:14" x14ac:dyDescent="0.2">
      <c r="A33" s="1"/>
      <c r="B33" s="32" t="s">
        <v>18</v>
      </c>
      <c r="C33" s="9">
        <v>3497.25</v>
      </c>
      <c r="D33" s="9">
        <v>703</v>
      </c>
      <c r="E33" s="9">
        <v>3630.01</v>
      </c>
      <c r="F33" s="9">
        <v>4095.22</v>
      </c>
      <c r="G33" s="9">
        <v>1581.15</v>
      </c>
      <c r="H33" s="9">
        <v>4500</v>
      </c>
      <c r="I33" s="9">
        <v>0</v>
      </c>
      <c r="J33" s="9">
        <f>I33+(H33-I33)</f>
        <v>4500</v>
      </c>
      <c r="K33" s="9">
        <f t="shared" si="1"/>
        <v>0</v>
      </c>
      <c r="L33" s="9">
        <v>0</v>
      </c>
      <c r="M33" s="19"/>
      <c r="N33" s="9"/>
    </row>
    <row r="34" spans="1:14" x14ac:dyDescent="0.2">
      <c r="A34" s="1"/>
      <c r="B34" s="7" t="s">
        <v>19</v>
      </c>
      <c r="C34" s="9">
        <v>6600</v>
      </c>
      <c r="D34" s="9">
        <v>6675</v>
      </c>
      <c r="E34" s="9">
        <v>6900</v>
      </c>
      <c r="F34" s="9">
        <v>6600</v>
      </c>
      <c r="G34" s="9">
        <v>1761.6</v>
      </c>
      <c r="H34" s="9">
        <v>4300</v>
      </c>
      <c r="I34" s="9">
        <v>0</v>
      </c>
      <c r="J34" s="9">
        <v>4300</v>
      </c>
      <c r="K34" s="9">
        <f t="shared" si="1"/>
        <v>0</v>
      </c>
      <c r="L34" s="9">
        <f>6900-L42</f>
        <v>2400</v>
      </c>
      <c r="M34" s="19" t="s">
        <v>105</v>
      </c>
    </row>
    <row r="35" spans="1:14" x14ac:dyDescent="0.2">
      <c r="A35" s="1"/>
      <c r="B35" s="7" t="s">
        <v>59</v>
      </c>
      <c r="C35" s="9">
        <v>0</v>
      </c>
      <c r="D35" s="9">
        <v>7756</v>
      </c>
      <c r="E35" s="9">
        <v>15891.19</v>
      </c>
      <c r="F35" s="9">
        <v>760.07</v>
      </c>
      <c r="G35" s="9">
        <v>0</v>
      </c>
      <c r="H35" s="9">
        <v>0</v>
      </c>
      <c r="I35" s="9">
        <v>0</v>
      </c>
      <c r="J35" s="9">
        <f>I35+0</f>
        <v>0</v>
      </c>
      <c r="K35" s="9">
        <f t="shared" si="1"/>
        <v>0</v>
      </c>
      <c r="L35" s="9">
        <v>0</v>
      </c>
      <c r="M35" s="19"/>
    </row>
    <row r="36" spans="1:14" x14ac:dyDescent="0.2">
      <c r="A36" s="1"/>
      <c r="B36" s="7" t="s">
        <v>60</v>
      </c>
      <c r="C36" s="9">
        <v>34251.949999999997</v>
      </c>
      <c r="D36" s="9">
        <v>5175</v>
      </c>
      <c r="E36" s="9">
        <v>6745</v>
      </c>
      <c r="F36" s="9">
        <v>70375.25</v>
      </c>
      <c r="G36" s="9">
        <v>21264</v>
      </c>
      <c r="H36" s="9">
        <v>10000</v>
      </c>
      <c r="I36" s="16">
        <v>16917.509999999998</v>
      </c>
      <c r="J36" s="9">
        <f>I36</f>
        <v>16917.509999999998</v>
      </c>
      <c r="K36" s="9">
        <f t="shared" si="1"/>
        <v>6917.5099999999984</v>
      </c>
      <c r="L36" s="9">
        <v>15000</v>
      </c>
      <c r="M36" s="27" t="s">
        <v>92</v>
      </c>
    </row>
    <row r="37" spans="1:14" x14ac:dyDescent="0.2">
      <c r="A37" s="1"/>
      <c r="B37" s="7" t="s">
        <v>61</v>
      </c>
      <c r="C37" s="9"/>
      <c r="D37" s="9">
        <v>0</v>
      </c>
      <c r="E37" s="9">
        <v>0</v>
      </c>
      <c r="F37" s="9">
        <v>0</v>
      </c>
      <c r="G37" s="9">
        <v>1706.83</v>
      </c>
      <c r="H37" s="9">
        <v>1000</v>
      </c>
      <c r="I37" s="9">
        <v>0</v>
      </c>
      <c r="J37" s="9">
        <f>I37+0</f>
        <v>0</v>
      </c>
      <c r="K37" s="9">
        <f t="shared" si="1"/>
        <v>-1000</v>
      </c>
      <c r="L37" s="9">
        <v>1500</v>
      </c>
      <c r="M37" s="19" t="s">
        <v>67</v>
      </c>
    </row>
    <row r="38" spans="1:14" x14ac:dyDescent="0.2">
      <c r="A38" s="1"/>
      <c r="B38" s="7" t="s">
        <v>50</v>
      </c>
      <c r="C38" s="9">
        <v>80</v>
      </c>
      <c r="D38" s="9">
        <v>2555</v>
      </c>
      <c r="E38" s="9">
        <v>976.15</v>
      </c>
      <c r="F38" s="9">
        <v>960</v>
      </c>
      <c r="G38" s="9">
        <v>1110</v>
      </c>
      <c r="H38" s="9">
        <v>1000</v>
      </c>
      <c r="I38" s="16">
        <v>960</v>
      </c>
      <c r="J38" s="9">
        <f>I38+0</f>
        <v>960</v>
      </c>
      <c r="K38" s="9">
        <f t="shared" si="1"/>
        <v>-40</v>
      </c>
      <c r="L38" s="9">
        <v>1000</v>
      </c>
      <c r="M38" s="19" t="s">
        <v>93</v>
      </c>
    </row>
    <row r="39" spans="1:14" x14ac:dyDescent="0.2">
      <c r="A39" s="1"/>
      <c r="B39" s="7" t="s">
        <v>20</v>
      </c>
      <c r="C39" s="9">
        <v>943.59</v>
      </c>
      <c r="D39" s="9">
        <v>4405</v>
      </c>
      <c r="E39" s="9">
        <v>261.04000000000002</v>
      </c>
      <c r="F39" s="9">
        <v>12988.63</v>
      </c>
      <c r="G39" s="9">
        <v>90</v>
      </c>
      <c r="H39" s="9">
        <v>1000</v>
      </c>
      <c r="I39" s="16">
        <v>1164.29</v>
      </c>
      <c r="J39" s="9">
        <v>1500</v>
      </c>
      <c r="K39" s="9">
        <f t="shared" si="1"/>
        <v>500</v>
      </c>
      <c r="L39" s="9">
        <v>1500</v>
      </c>
      <c r="M39" s="19" t="s">
        <v>94</v>
      </c>
    </row>
    <row r="40" spans="1:14" x14ac:dyDescent="0.2">
      <c r="A40" s="1"/>
      <c r="B40" s="7" t="s">
        <v>46</v>
      </c>
      <c r="C40" s="9">
        <v>0</v>
      </c>
      <c r="D40" s="9">
        <v>0</v>
      </c>
      <c r="E40" s="9">
        <v>0</v>
      </c>
      <c r="F40" s="9">
        <v>107.46</v>
      </c>
      <c r="G40" s="9">
        <v>0</v>
      </c>
      <c r="H40" s="9">
        <v>180</v>
      </c>
      <c r="I40" s="9">
        <v>0</v>
      </c>
      <c r="J40" s="9">
        <v>0</v>
      </c>
      <c r="K40" s="9">
        <f t="shared" si="1"/>
        <v>-180</v>
      </c>
      <c r="L40" s="9">
        <v>0</v>
      </c>
      <c r="M40" s="19"/>
    </row>
    <row r="41" spans="1:14" x14ac:dyDescent="0.2">
      <c r="A41" s="1"/>
      <c r="B41" s="7" t="s">
        <v>64</v>
      </c>
      <c r="C41" s="9">
        <v>0</v>
      </c>
      <c r="D41" s="9">
        <v>0</v>
      </c>
      <c r="E41" s="9">
        <v>0</v>
      </c>
      <c r="F41" s="9">
        <v>0</v>
      </c>
      <c r="G41" s="9">
        <v>859.51</v>
      </c>
      <c r="H41" s="9">
        <v>500</v>
      </c>
      <c r="I41" s="16">
        <v>359.29</v>
      </c>
      <c r="J41" s="9">
        <v>500</v>
      </c>
      <c r="K41" s="9">
        <f t="shared" si="1"/>
        <v>0</v>
      </c>
      <c r="L41" s="9">
        <v>500</v>
      </c>
      <c r="M41" s="19" t="s">
        <v>93</v>
      </c>
    </row>
    <row r="42" spans="1:14" x14ac:dyDescent="0.2">
      <c r="A42" s="1"/>
      <c r="B42" s="7" t="s">
        <v>62</v>
      </c>
      <c r="C42" s="9">
        <v>0</v>
      </c>
      <c r="D42" s="9">
        <v>0</v>
      </c>
      <c r="E42" s="9">
        <v>0</v>
      </c>
      <c r="F42" s="9">
        <v>755.9</v>
      </c>
      <c r="G42" s="9">
        <v>3238.4</v>
      </c>
      <c r="H42" s="9">
        <v>2600</v>
      </c>
      <c r="I42" s="16">
        <v>4015.74</v>
      </c>
      <c r="J42" s="9">
        <v>4500</v>
      </c>
      <c r="K42" s="9">
        <f t="shared" si="1"/>
        <v>1900</v>
      </c>
      <c r="L42" s="9">
        <v>4500</v>
      </c>
      <c r="M42" s="19" t="s">
        <v>94</v>
      </c>
    </row>
    <row r="43" spans="1:14" x14ac:dyDescent="0.2">
      <c r="A43" s="1"/>
      <c r="B43" s="26" t="s">
        <v>32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9"/>
    </row>
    <row r="44" spans="1:14" x14ac:dyDescent="0.2">
      <c r="A44" s="1"/>
      <c r="B44" s="7" t="s">
        <v>51</v>
      </c>
      <c r="C44" s="9">
        <v>7200</v>
      </c>
      <c r="D44" s="9">
        <v>7200</v>
      </c>
      <c r="E44" s="9">
        <v>8300</v>
      </c>
      <c r="F44" s="9">
        <f>9893.94+431.25</f>
        <v>10325.19</v>
      </c>
      <c r="G44" s="9">
        <f>11200+687.5</f>
        <v>11887.5</v>
      </c>
      <c r="H44" s="9">
        <v>11934</v>
      </c>
      <c r="I44" s="16">
        <f>8921.5+1293.75</f>
        <v>10215.25</v>
      </c>
      <c r="J44" s="9">
        <f>I44+(1004.25*3)</f>
        <v>13228</v>
      </c>
      <c r="K44" s="9">
        <f>J44-H44</f>
        <v>1294</v>
      </c>
      <c r="L44" s="9">
        <f>(4*1004.25)+(8*1004.25*1.03)</f>
        <v>12292.02</v>
      </c>
      <c r="M44" s="19" t="s">
        <v>70</v>
      </c>
    </row>
    <row r="45" spans="1:14" x14ac:dyDescent="0.2">
      <c r="A45" s="1"/>
      <c r="B45" s="7" t="s">
        <v>7</v>
      </c>
      <c r="C45" s="9">
        <v>2518.75</v>
      </c>
      <c r="D45" s="9">
        <v>6813</v>
      </c>
      <c r="E45" s="9">
        <v>396</v>
      </c>
      <c r="F45" s="9">
        <v>720</v>
      </c>
      <c r="G45" s="9">
        <v>3762</v>
      </c>
      <c r="H45" s="9">
        <v>2500</v>
      </c>
      <c r="I45" s="16">
        <v>6515.58</v>
      </c>
      <c r="J45" s="9">
        <f>I45+1000</f>
        <v>7515.58</v>
      </c>
      <c r="K45" s="9">
        <f>J45-H45</f>
        <v>5015.58</v>
      </c>
      <c r="L45" s="9">
        <v>7500</v>
      </c>
      <c r="M45" s="19" t="s">
        <v>49</v>
      </c>
    </row>
    <row r="46" spans="1:14" x14ac:dyDescent="0.2">
      <c r="A46" s="1"/>
      <c r="B46" s="7" t="s">
        <v>8</v>
      </c>
      <c r="C46" s="9">
        <v>220</v>
      </c>
      <c r="D46" s="9">
        <v>200</v>
      </c>
      <c r="E46" s="9">
        <v>216.77</v>
      </c>
      <c r="F46" s="9"/>
      <c r="G46" s="9">
        <v>200</v>
      </c>
      <c r="H46" s="9">
        <v>200</v>
      </c>
      <c r="I46" s="16">
        <v>177.38</v>
      </c>
      <c r="J46" s="9">
        <f>I46+0</f>
        <v>177.38</v>
      </c>
      <c r="K46" s="9">
        <f>J46-H46</f>
        <v>-22.620000000000005</v>
      </c>
      <c r="L46" s="9">
        <v>200</v>
      </c>
      <c r="M46" s="19" t="s">
        <v>93</v>
      </c>
    </row>
    <row r="47" spans="1:14" x14ac:dyDescent="0.2">
      <c r="A47" s="1"/>
      <c r="B47" s="7" t="s">
        <v>6</v>
      </c>
      <c r="C47" s="9">
        <v>0</v>
      </c>
      <c r="D47" s="9">
        <v>542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f>I47+0</f>
        <v>0</v>
      </c>
      <c r="K47" s="9">
        <f>J47-H47</f>
        <v>0</v>
      </c>
      <c r="L47" s="9">
        <v>0</v>
      </c>
      <c r="M47" s="19" t="s">
        <v>93</v>
      </c>
    </row>
    <row r="48" spans="1:14" x14ac:dyDescent="0.2">
      <c r="A48" s="1"/>
      <c r="B48" s="7" t="s">
        <v>21</v>
      </c>
      <c r="C48" s="9">
        <v>0</v>
      </c>
      <c r="D48" s="9">
        <v>650</v>
      </c>
      <c r="E48" s="9">
        <v>406.25</v>
      </c>
      <c r="F48" s="9">
        <v>509.52</v>
      </c>
      <c r="G48" s="9">
        <v>0</v>
      </c>
      <c r="H48" s="9">
        <v>0</v>
      </c>
      <c r="I48" s="9">
        <v>0</v>
      </c>
      <c r="J48" s="9">
        <f>I48+0</f>
        <v>0</v>
      </c>
      <c r="K48" s="9">
        <f>J48-H48</f>
        <v>0</v>
      </c>
      <c r="L48" s="9">
        <v>0</v>
      </c>
      <c r="M48" s="19" t="s">
        <v>54</v>
      </c>
    </row>
    <row r="49" spans="1:14" x14ac:dyDescent="0.2">
      <c r="A49" s="1"/>
      <c r="B49" s="26" t="s">
        <v>24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  <c r="N49" s="9"/>
    </row>
    <row r="50" spans="1:14" x14ac:dyDescent="0.2">
      <c r="A50" s="1"/>
      <c r="B50" s="7" t="s">
        <v>0</v>
      </c>
      <c r="C50" s="9">
        <v>2080</v>
      </c>
      <c r="D50" s="9">
        <v>2080</v>
      </c>
      <c r="E50" s="9">
        <v>2080</v>
      </c>
      <c r="F50" s="9">
        <v>2080</v>
      </c>
      <c r="G50" s="9">
        <v>2080</v>
      </c>
      <c r="H50" s="9">
        <v>2200</v>
      </c>
      <c r="I50" s="16">
        <v>2080</v>
      </c>
      <c r="J50" s="9">
        <f>I50+0</f>
        <v>2080</v>
      </c>
      <c r="K50" s="9">
        <f>J50-H50</f>
        <v>-120</v>
      </c>
      <c r="L50" s="9">
        <v>2200</v>
      </c>
      <c r="M50" s="19" t="s">
        <v>93</v>
      </c>
    </row>
    <row r="51" spans="1:14" x14ac:dyDescent="0.2">
      <c r="A51" s="1"/>
      <c r="B51" s="7" t="s">
        <v>24</v>
      </c>
      <c r="C51" s="9">
        <v>293.25</v>
      </c>
      <c r="D51" s="9">
        <v>297</v>
      </c>
      <c r="E51" s="9">
        <v>299.52</v>
      </c>
      <c r="F51" s="9">
        <f>32+291.04+186.65+243.79+155.81</f>
        <v>909.29</v>
      </c>
      <c r="G51" s="9">
        <v>393.62</v>
      </c>
      <c r="H51" s="9">
        <v>250</v>
      </c>
      <c r="I51" s="16">
        <v>473.58</v>
      </c>
      <c r="J51" s="9">
        <f>I51+0</f>
        <v>473.58</v>
      </c>
      <c r="K51" s="9">
        <f>J51-H51</f>
        <v>223.57999999999998</v>
      </c>
      <c r="L51" s="9">
        <v>500</v>
      </c>
      <c r="M51" s="19" t="s">
        <v>72</v>
      </c>
    </row>
    <row r="52" spans="1:14" x14ac:dyDescent="0.2">
      <c r="A52" s="1"/>
      <c r="B52" s="7" t="s">
        <v>44</v>
      </c>
      <c r="C52" s="9">
        <v>0</v>
      </c>
      <c r="D52" s="9">
        <v>0</v>
      </c>
      <c r="E52" s="9">
        <v>3492</v>
      </c>
      <c r="F52" s="9">
        <v>0</v>
      </c>
      <c r="G52" s="9">
        <v>0</v>
      </c>
      <c r="H52" s="9">
        <v>0</v>
      </c>
      <c r="I52" s="9">
        <v>0</v>
      </c>
      <c r="J52" s="9">
        <f>I52+0</f>
        <v>0</v>
      </c>
      <c r="K52" s="9">
        <f>J52-H52</f>
        <v>0</v>
      </c>
      <c r="L52" s="9">
        <v>0</v>
      </c>
      <c r="M52" s="19" t="s">
        <v>52</v>
      </c>
    </row>
    <row r="53" spans="1:14" x14ac:dyDescent="0.2">
      <c r="A53" s="1"/>
      <c r="B53" s="7" t="s">
        <v>22</v>
      </c>
      <c r="C53" s="9">
        <v>49</v>
      </c>
      <c r="D53" s="9">
        <v>49</v>
      </c>
      <c r="E53" s="9">
        <v>60</v>
      </c>
      <c r="F53" s="9">
        <v>174.87</v>
      </c>
      <c r="G53" s="9">
        <v>313.52999999999997</v>
      </c>
      <c r="H53" s="9">
        <v>170</v>
      </c>
      <c r="I53" s="9">
        <v>0</v>
      </c>
      <c r="J53" s="9">
        <v>170</v>
      </c>
      <c r="K53" s="9">
        <f>J53-H53</f>
        <v>0</v>
      </c>
      <c r="L53" s="9">
        <v>170</v>
      </c>
      <c r="M53" s="19" t="s">
        <v>93</v>
      </c>
    </row>
    <row r="54" spans="1:14" x14ac:dyDescent="0.2">
      <c r="A54" s="1"/>
      <c r="B54" s="7" t="s">
        <v>87</v>
      </c>
      <c r="C54" s="9">
        <v>0</v>
      </c>
      <c r="D54" s="9">
        <v>0</v>
      </c>
      <c r="E54" s="9">
        <v>0</v>
      </c>
      <c r="F54" s="9">
        <v>0</v>
      </c>
      <c r="G54" s="9">
        <v>76.38</v>
      </c>
      <c r="H54" s="9">
        <v>0</v>
      </c>
      <c r="I54" s="16">
        <f>152.2+74.33</f>
        <v>226.52999999999997</v>
      </c>
      <c r="J54" s="9">
        <v>350</v>
      </c>
      <c r="K54" s="9">
        <f>J54-H54</f>
        <v>350</v>
      </c>
      <c r="L54" s="9">
        <v>350</v>
      </c>
      <c r="M54" s="19" t="s">
        <v>95</v>
      </c>
    </row>
    <row r="55" spans="1:14" ht="8" customHeight="1" x14ac:dyDescent="0.2">
      <c r="A55" s="1"/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N55" s="9"/>
    </row>
    <row r="56" spans="1:14" x14ac:dyDescent="0.2">
      <c r="A56" s="1"/>
      <c r="B56" s="1" t="s">
        <v>40</v>
      </c>
      <c r="C56" s="15">
        <f t="shared" ref="C56:L56" si="2">SUM(C31:C55)</f>
        <v>85028.79</v>
      </c>
      <c r="D56" s="15">
        <f t="shared" si="2"/>
        <v>55193</v>
      </c>
      <c r="E56" s="15">
        <f t="shared" si="2"/>
        <v>73713.930000000022</v>
      </c>
      <c r="F56" s="15">
        <f t="shared" si="2"/>
        <v>143349.59999999998</v>
      </c>
      <c r="G56" s="15">
        <f t="shared" si="2"/>
        <v>74240.150000000009</v>
      </c>
      <c r="H56" s="15">
        <f t="shared" si="2"/>
        <v>72784</v>
      </c>
      <c r="I56" s="15">
        <f t="shared" si="2"/>
        <v>63766.229999999996</v>
      </c>
      <c r="J56" s="15">
        <f t="shared" si="2"/>
        <v>87622.05</v>
      </c>
      <c r="K56" s="15">
        <f t="shared" si="2"/>
        <v>14838.049999999997</v>
      </c>
      <c r="L56" s="15">
        <f t="shared" si="2"/>
        <v>81584.52</v>
      </c>
    </row>
    <row r="57" spans="1:14" ht="8" customHeight="1" thickBot="1" x14ac:dyDescent="0.25">
      <c r="A57" s="1"/>
      <c r="B57" s="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4" ht="17" thickBot="1" x14ac:dyDescent="0.25">
      <c r="A58" s="1"/>
      <c r="B58" s="1" t="s">
        <v>41</v>
      </c>
      <c r="C58" s="10">
        <f t="shared" ref="C58:J58" si="3">C28-C56</f>
        <v>-19820.96</v>
      </c>
      <c r="D58" s="10">
        <f t="shared" si="3"/>
        <v>11360</v>
      </c>
      <c r="E58" s="10">
        <f t="shared" si="3"/>
        <v>-6527.1700000000274</v>
      </c>
      <c r="F58" s="10">
        <f t="shared" si="3"/>
        <v>-76171.929999999978</v>
      </c>
      <c r="G58" s="10">
        <f t="shared" si="3"/>
        <v>5226.5399999999936</v>
      </c>
      <c r="H58" s="10">
        <f t="shared" si="3"/>
        <v>5159</v>
      </c>
      <c r="I58" s="10">
        <f t="shared" si="3"/>
        <v>-6662.6299999999974</v>
      </c>
      <c r="J58" s="10">
        <f t="shared" si="3"/>
        <v>-8994.0500000000029</v>
      </c>
      <c r="K58" s="10">
        <f>J58-H58</f>
        <v>-14153.050000000003</v>
      </c>
      <c r="L58" s="10">
        <f>L28-L56</f>
        <v>13215.479999999996</v>
      </c>
      <c r="N58" s="9"/>
    </row>
    <row r="59" spans="1:14" ht="8" customHeight="1" x14ac:dyDescent="0.2">
      <c r="A59" s="1"/>
      <c r="B59" s="1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4" x14ac:dyDescent="0.2">
      <c r="B60" s="3" t="s">
        <v>25</v>
      </c>
      <c r="C60" s="8">
        <v>-8000</v>
      </c>
      <c r="D60" s="8">
        <v>-8000</v>
      </c>
      <c r="E60" s="9">
        <v>0</v>
      </c>
      <c r="F60" s="8">
        <v>-8000</v>
      </c>
      <c r="G60" s="8">
        <v>-5226.54</v>
      </c>
      <c r="H60" s="8">
        <v>-5159</v>
      </c>
      <c r="I60" s="8">
        <v>0</v>
      </c>
      <c r="J60" s="9">
        <v>0</v>
      </c>
      <c r="K60" s="9">
        <f>J60-H60</f>
        <v>5159</v>
      </c>
      <c r="L60" s="8">
        <f>-L58</f>
        <v>-13215.479999999996</v>
      </c>
      <c r="M60" s="19" t="s">
        <v>110</v>
      </c>
    </row>
    <row r="61" spans="1:14" x14ac:dyDescent="0.2">
      <c r="B61" s="17"/>
      <c r="E61" s="8"/>
    </row>
    <row r="62" spans="1:14" x14ac:dyDescent="0.2">
      <c r="A62" s="1"/>
      <c r="B62" s="1" t="s">
        <v>26</v>
      </c>
      <c r="I62" s="30"/>
    </row>
    <row r="63" spans="1:14" x14ac:dyDescent="0.2">
      <c r="A63" s="1"/>
      <c r="B63" s="14" t="s">
        <v>25</v>
      </c>
      <c r="C63" s="9">
        <f>-C60</f>
        <v>8000</v>
      </c>
      <c r="D63" s="9">
        <f>-D60</f>
        <v>8000</v>
      </c>
      <c r="E63" s="9">
        <v>0</v>
      </c>
      <c r="F63" s="9">
        <f>-F60</f>
        <v>8000</v>
      </c>
      <c r="G63" s="9">
        <f>-G60</f>
        <v>5226.54</v>
      </c>
      <c r="H63" s="9">
        <v>5159</v>
      </c>
      <c r="I63" s="9">
        <v>0</v>
      </c>
      <c r="J63" s="9">
        <f>-J60</f>
        <v>0</v>
      </c>
      <c r="K63" s="9">
        <f>J63-H63</f>
        <v>-5159</v>
      </c>
      <c r="L63" s="9">
        <f>-L60</f>
        <v>13215.479999999996</v>
      </c>
    </row>
    <row r="64" spans="1:14" x14ac:dyDescent="0.2">
      <c r="A64" s="1"/>
      <c r="B64" s="14" t="s">
        <v>89</v>
      </c>
      <c r="C64" s="9">
        <v>0</v>
      </c>
      <c r="D64" s="9">
        <v>25000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f>I64+0</f>
        <v>0</v>
      </c>
      <c r="K64" s="9">
        <f>J64-H64</f>
        <v>0</v>
      </c>
      <c r="L64" s="9">
        <v>0</v>
      </c>
    </row>
    <row r="65" spans="1:14" x14ac:dyDescent="0.2">
      <c r="A65" s="1"/>
      <c r="B65" s="14" t="s">
        <v>90</v>
      </c>
      <c r="C65" s="9">
        <v>4600</v>
      </c>
      <c r="D65" s="9">
        <v>5000</v>
      </c>
      <c r="E65" s="9">
        <v>0</v>
      </c>
      <c r="F65" s="9">
        <v>3925</v>
      </c>
      <c r="G65" s="9">
        <v>0</v>
      </c>
      <c r="H65" s="9">
        <v>0</v>
      </c>
      <c r="I65" s="16">
        <v>8153</v>
      </c>
      <c r="J65" s="9">
        <f>I65+6574+5855</f>
        <v>20582</v>
      </c>
      <c r="K65" s="9">
        <f>J65-H65</f>
        <v>20582</v>
      </c>
      <c r="L65" s="9">
        <v>0</v>
      </c>
      <c r="M65" s="19" t="s">
        <v>114</v>
      </c>
      <c r="N65" s="9"/>
    </row>
    <row r="66" spans="1:14" x14ac:dyDescent="0.2">
      <c r="A66" s="1"/>
      <c r="B66" s="14" t="s">
        <v>113</v>
      </c>
      <c r="C66" s="9">
        <v>500</v>
      </c>
      <c r="D66" s="9">
        <v>500</v>
      </c>
      <c r="E66" s="9">
        <v>0</v>
      </c>
      <c r="F66" s="9">
        <v>500</v>
      </c>
      <c r="G66" s="9">
        <v>0</v>
      </c>
      <c r="H66" s="9">
        <v>0</v>
      </c>
      <c r="I66" s="16">
        <v>500</v>
      </c>
      <c r="J66" s="9">
        <f>I66+1000</f>
        <v>1500</v>
      </c>
      <c r="K66" s="9">
        <f>J66-H66</f>
        <v>1500</v>
      </c>
      <c r="L66" s="9">
        <v>0</v>
      </c>
      <c r="M66" s="19" t="s">
        <v>114</v>
      </c>
      <c r="N66" s="9"/>
    </row>
    <row r="67" spans="1:14" x14ac:dyDescent="0.2">
      <c r="B67" s="14" t="s">
        <v>35</v>
      </c>
      <c r="C67" s="9">
        <v>0</v>
      </c>
      <c r="D67" s="9">
        <v>0</v>
      </c>
      <c r="E67" s="9">
        <v>0</v>
      </c>
      <c r="F67" s="9">
        <v>87.53</v>
      </c>
      <c r="G67" s="9">
        <v>50.86</v>
      </c>
      <c r="H67" s="9">
        <v>0</v>
      </c>
      <c r="I67" s="16">
        <v>155.32</v>
      </c>
      <c r="J67" s="9">
        <v>200</v>
      </c>
      <c r="K67" s="9">
        <f>J67-H67</f>
        <v>200</v>
      </c>
      <c r="L67" s="9">
        <v>0</v>
      </c>
    </row>
    <row r="68" spans="1:14" ht="8" customHeight="1" x14ac:dyDescent="0.2">
      <c r="A68" s="1"/>
      <c r="B68" s="7"/>
      <c r="C68" s="9"/>
      <c r="D68" s="9"/>
      <c r="E68" s="9"/>
      <c r="F68" s="9"/>
      <c r="G68" s="9"/>
      <c r="H68" s="9"/>
      <c r="I68" s="9"/>
      <c r="J68" s="9"/>
      <c r="K68" s="9"/>
      <c r="L68" s="9"/>
      <c r="N68" s="9"/>
    </row>
    <row r="69" spans="1:14" x14ac:dyDescent="0.2">
      <c r="A69" s="1"/>
      <c r="B69" s="1" t="s">
        <v>36</v>
      </c>
      <c r="C69" s="15">
        <f t="shared" ref="C69:L69" si="4">SUM(C63:C67)</f>
        <v>13100</v>
      </c>
      <c r="D69" s="15">
        <f t="shared" si="4"/>
        <v>38500</v>
      </c>
      <c r="E69" s="15">
        <f t="shared" si="4"/>
        <v>0</v>
      </c>
      <c r="F69" s="15">
        <f t="shared" si="4"/>
        <v>12512.53</v>
      </c>
      <c r="G69" s="15">
        <f t="shared" si="4"/>
        <v>5277.4</v>
      </c>
      <c r="H69" s="15">
        <f t="shared" si="4"/>
        <v>5159</v>
      </c>
      <c r="I69" s="15">
        <f t="shared" si="4"/>
        <v>8808.32</v>
      </c>
      <c r="J69" s="15">
        <f t="shared" si="4"/>
        <v>22282</v>
      </c>
      <c r="K69" s="15">
        <f t="shared" si="4"/>
        <v>17123</v>
      </c>
      <c r="L69" s="15">
        <f t="shared" si="4"/>
        <v>13215.479999999996</v>
      </c>
    </row>
    <row r="71" spans="1:14" x14ac:dyDescent="0.2">
      <c r="A71" s="1"/>
      <c r="B71" s="1" t="s">
        <v>37</v>
      </c>
    </row>
    <row r="72" spans="1:14" x14ac:dyDescent="0.2">
      <c r="A72" s="1"/>
      <c r="B72" s="14" t="s">
        <v>38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f>J72-H72</f>
        <v>0</v>
      </c>
      <c r="L72" s="9">
        <v>0</v>
      </c>
      <c r="M72" s="19" t="s">
        <v>102</v>
      </c>
    </row>
    <row r="73" spans="1:14" x14ac:dyDescent="0.2">
      <c r="A73" s="1"/>
      <c r="B73" s="14" t="s">
        <v>103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f>J73-H73</f>
        <v>0</v>
      </c>
      <c r="L73" s="9">
        <v>0</v>
      </c>
      <c r="M73" s="19" t="s">
        <v>104</v>
      </c>
    </row>
    <row r="74" spans="1:14" ht="8" customHeight="1" x14ac:dyDescent="0.2">
      <c r="A74" s="1"/>
      <c r="B74" s="7"/>
      <c r="C74" s="9"/>
      <c r="D74" s="9"/>
      <c r="E74" s="9"/>
      <c r="F74" s="9"/>
      <c r="G74" s="9"/>
      <c r="H74" s="9"/>
      <c r="I74" s="9"/>
      <c r="J74" s="9"/>
      <c r="K74" s="9"/>
      <c r="L74" s="9"/>
      <c r="N74" s="9"/>
    </row>
    <row r="75" spans="1:14" x14ac:dyDescent="0.2">
      <c r="A75" s="1"/>
      <c r="B75" s="1" t="s">
        <v>39</v>
      </c>
      <c r="C75" s="15">
        <f t="shared" ref="C75:L75" si="5">SUM(C72)</f>
        <v>0</v>
      </c>
      <c r="D75" s="15">
        <f t="shared" si="5"/>
        <v>0</v>
      </c>
      <c r="E75" s="15">
        <f t="shared" si="5"/>
        <v>0</v>
      </c>
      <c r="F75" s="15">
        <f t="shared" si="5"/>
        <v>0</v>
      </c>
      <c r="G75" s="15">
        <f t="shared" si="5"/>
        <v>0</v>
      </c>
      <c r="H75" s="15">
        <f t="shared" si="5"/>
        <v>0</v>
      </c>
      <c r="I75" s="15">
        <f t="shared" si="5"/>
        <v>0</v>
      </c>
      <c r="J75" s="15">
        <f t="shared" si="5"/>
        <v>0</v>
      </c>
      <c r="K75" s="15">
        <f t="shared" si="5"/>
        <v>0</v>
      </c>
      <c r="L75" s="15">
        <f t="shared" si="5"/>
        <v>0</v>
      </c>
    </row>
    <row r="76" spans="1:14" ht="8" customHeight="1" thickBot="1" x14ac:dyDescent="0.25">
      <c r="A76" s="1"/>
      <c r="B76" s="7"/>
      <c r="C76" s="9"/>
      <c r="D76" s="9"/>
      <c r="E76" s="9"/>
      <c r="F76" s="9"/>
      <c r="G76" s="9"/>
      <c r="H76" s="9"/>
      <c r="I76" s="9"/>
      <c r="J76" s="9"/>
      <c r="K76" s="9"/>
      <c r="L76" s="9"/>
      <c r="N76" s="9"/>
    </row>
    <row r="77" spans="1:14" ht="17" thickBot="1" x14ac:dyDescent="0.25">
      <c r="A77" s="1"/>
      <c r="B77" s="1" t="s">
        <v>42</v>
      </c>
      <c r="C77" s="10">
        <f t="shared" ref="C77:L77" si="6">C69-C75</f>
        <v>13100</v>
      </c>
      <c r="D77" s="10">
        <f t="shared" si="6"/>
        <v>38500</v>
      </c>
      <c r="E77" s="10">
        <f t="shared" si="6"/>
        <v>0</v>
      </c>
      <c r="F77" s="10">
        <f t="shared" si="6"/>
        <v>12512.53</v>
      </c>
      <c r="G77" s="10">
        <f t="shared" si="6"/>
        <v>5277.4</v>
      </c>
      <c r="H77" s="10">
        <f t="shared" si="6"/>
        <v>5159</v>
      </c>
      <c r="I77" s="10">
        <f t="shared" si="6"/>
        <v>8808.32</v>
      </c>
      <c r="J77" s="10">
        <f t="shared" si="6"/>
        <v>22282</v>
      </c>
      <c r="K77" s="10">
        <f t="shared" si="6"/>
        <v>17123</v>
      </c>
      <c r="L77" s="10">
        <f t="shared" si="6"/>
        <v>13215.479999999996</v>
      </c>
      <c r="N77" s="9"/>
    </row>
    <row r="78" spans="1:14" ht="17" thickBot="1" x14ac:dyDescent="0.25"/>
    <row r="79" spans="1:14" ht="17" thickBot="1" x14ac:dyDescent="0.25">
      <c r="A79" s="1"/>
      <c r="B79" s="1" t="s">
        <v>43</v>
      </c>
      <c r="C79" s="10">
        <f t="shared" ref="C79:L79" si="7">C58+C60+C77</f>
        <v>-14720.96</v>
      </c>
      <c r="D79" s="10">
        <f t="shared" si="7"/>
        <v>41860</v>
      </c>
      <c r="E79" s="10">
        <f t="shared" si="7"/>
        <v>-6527.1700000000274</v>
      </c>
      <c r="F79" s="10">
        <f t="shared" si="7"/>
        <v>-71659.39999999998</v>
      </c>
      <c r="G79" s="10">
        <f t="shared" si="7"/>
        <v>5277.3999999999933</v>
      </c>
      <c r="H79" s="10">
        <f t="shared" si="7"/>
        <v>5159</v>
      </c>
      <c r="I79" s="10">
        <f t="shared" si="7"/>
        <v>2145.6900000000023</v>
      </c>
      <c r="J79" s="10">
        <f t="shared" si="7"/>
        <v>13287.949999999997</v>
      </c>
      <c r="K79" s="10">
        <f t="shared" si="7"/>
        <v>8128.9499999999971</v>
      </c>
      <c r="L79" s="10">
        <f t="shared" si="7"/>
        <v>13215.479999999996</v>
      </c>
      <c r="N79" s="9"/>
    </row>
  </sheetData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5D00-8589-204E-88EC-1E7AED6C5225}">
  <sheetPr>
    <pageSetUpPr fitToPage="1"/>
  </sheetPr>
  <dimension ref="A1:J67"/>
  <sheetViews>
    <sheetView showGridLines="0" zoomScale="107" zoomScaleNormal="107" workbookViewId="0">
      <selection activeCell="G63" sqref="G63:G67"/>
    </sheetView>
  </sheetViews>
  <sheetFormatPr baseColWidth="10" defaultColWidth="10.6640625" defaultRowHeight="16" x14ac:dyDescent="0.2"/>
  <cols>
    <col min="1" max="1" width="3" style="3" customWidth="1"/>
    <col min="2" max="2" width="36.6640625" style="3" bestFit="1" customWidth="1"/>
    <col min="3" max="6" width="14.6640625" style="4" bestFit="1" customWidth="1"/>
    <col min="7" max="7" width="14.6640625" style="4" customWidth="1"/>
    <col min="8" max="8" width="14.6640625" style="4" bestFit="1" customWidth="1"/>
    <col min="9" max="9" width="44.6640625" style="4" customWidth="1"/>
    <col min="10" max="16384" width="10.6640625" style="4"/>
  </cols>
  <sheetData>
    <row r="1" spans="1:10" x14ac:dyDescent="0.2">
      <c r="A1" s="18" t="s">
        <v>56</v>
      </c>
      <c r="B1" s="18"/>
      <c r="C1" s="18"/>
      <c r="D1" s="18"/>
      <c r="E1" s="18"/>
      <c r="F1" s="18"/>
      <c r="G1" s="18"/>
      <c r="H1" s="18"/>
    </row>
    <row r="2" spans="1:10" x14ac:dyDescent="0.2">
      <c r="A2" s="1"/>
      <c r="B2" s="1"/>
      <c r="C2" s="29"/>
      <c r="D2" s="29"/>
      <c r="E2" s="29"/>
      <c r="F2" s="29"/>
      <c r="G2" s="29"/>
      <c r="H2" s="29"/>
    </row>
    <row r="3" spans="1:10" x14ac:dyDescent="0.2">
      <c r="A3" s="1"/>
      <c r="B3" s="1"/>
      <c r="C3" s="5"/>
      <c r="D3" s="5"/>
      <c r="E3" s="5"/>
      <c r="F3" s="5"/>
      <c r="G3" s="5"/>
      <c r="H3" s="5"/>
    </row>
    <row r="4" spans="1:10" ht="35" thickBot="1" x14ac:dyDescent="0.25">
      <c r="A4" s="2"/>
      <c r="B4" s="2"/>
      <c r="C4" s="6" t="s">
        <v>77</v>
      </c>
      <c r="D4" s="6" t="s">
        <v>78</v>
      </c>
      <c r="E4" s="6" t="s">
        <v>79</v>
      </c>
      <c r="F4" s="6" t="s">
        <v>81</v>
      </c>
      <c r="G4" s="6" t="s">
        <v>80</v>
      </c>
      <c r="H4" s="6" t="s">
        <v>58</v>
      </c>
      <c r="I4" s="6" t="s">
        <v>10</v>
      </c>
    </row>
    <row r="5" spans="1:10" x14ac:dyDescent="0.2">
      <c r="A5" s="1"/>
      <c r="B5" s="1" t="s">
        <v>27</v>
      </c>
    </row>
    <row r="6" spans="1:10" x14ac:dyDescent="0.2">
      <c r="A6" s="1"/>
      <c r="B6" s="21" t="s">
        <v>45</v>
      </c>
      <c r="C6" s="22"/>
      <c r="D6" s="22"/>
      <c r="E6" s="22"/>
      <c r="F6" s="22"/>
      <c r="G6" s="22"/>
      <c r="H6" s="22"/>
      <c r="I6" s="22"/>
    </row>
    <row r="7" spans="1:10" x14ac:dyDescent="0.2">
      <c r="A7" s="1"/>
      <c r="B7" s="20" t="s">
        <v>11</v>
      </c>
      <c r="C7" s="33">
        <f>$H$7/4</f>
        <v>17250</v>
      </c>
      <c r="D7" s="33">
        <f t="shared" ref="D7:F7" si="0">$H$7/4</f>
        <v>17250</v>
      </c>
      <c r="E7" s="33">
        <f t="shared" si="0"/>
        <v>17250</v>
      </c>
      <c r="F7" s="33">
        <f t="shared" si="0"/>
        <v>17250</v>
      </c>
      <c r="G7" s="28">
        <f>SUM(C7:F7)</f>
        <v>69000</v>
      </c>
      <c r="H7" s="28">
        <f>750*23*4</f>
        <v>69000</v>
      </c>
      <c r="I7" s="19" t="s">
        <v>74</v>
      </c>
    </row>
    <row r="8" spans="1:10" x14ac:dyDescent="0.2">
      <c r="A8" s="1"/>
      <c r="B8" s="20" t="s">
        <v>16</v>
      </c>
      <c r="C8" s="34">
        <f>$H$8/4</f>
        <v>1725</v>
      </c>
      <c r="D8" s="34">
        <f t="shared" ref="D8:F8" si="1">$H$8/4</f>
        <v>1725</v>
      </c>
      <c r="E8" s="34">
        <f t="shared" si="1"/>
        <v>1725</v>
      </c>
      <c r="F8" s="34">
        <f t="shared" si="1"/>
        <v>1725</v>
      </c>
      <c r="G8" s="28">
        <f>SUM(C8:F8)</f>
        <v>6900</v>
      </c>
      <c r="H8" s="9">
        <f>75*23*4</f>
        <v>6900</v>
      </c>
      <c r="I8" s="19" t="s">
        <v>47</v>
      </c>
      <c r="J8" s="29"/>
    </row>
    <row r="9" spans="1:10" x14ac:dyDescent="0.2">
      <c r="A9" s="1"/>
      <c r="B9" s="21" t="s">
        <v>34</v>
      </c>
      <c r="C9" s="23"/>
      <c r="D9" s="23"/>
      <c r="E9" s="23"/>
      <c r="F9" s="23"/>
      <c r="G9" s="23"/>
      <c r="H9" s="23"/>
      <c r="I9" s="25"/>
      <c r="J9" s="29"/>
    </row>
    <row r="10" spans="1:10" x14ac:dyDescent="0.2">
      <c r="A10" s="1"/>
      <c r="B10" s="20" t="s">
        <v>30</v>
      </c>
      <c r="C10" s="35">
        <v>0</v>
      </c>
      <c r="D10" s="35">
        <v>0</v>
      </c>
      <c r="E10" s="35">
        <v>0</v>
      </c>
      <c r="F10" s="35">
        <v>2043</v>
      </c>
      <c r="G10" s="28">
        <f>SUM(C10:F10)</f>
        <v>2043</v>
      </c>
      <c r="H10" s="31">
        <f>(1/22)*(H25+H26+H29)</f>
        <v>2043.1818181818182</v>
      </c>
      <c r="I10" s="19" t="s">
        <v>48</v>
      </c>
    </row>
    <row r="11" spans="1:10" x14ac:dyDescent="0.2">
      <c r="A11" s="1"/>
      <c r="B11" s="20" t="s">
        <v>12</v>
      </c>
      <c r="C11" s="9">
        <v>0</v>
      </c>
      <c r="D11" s="9">
        <v>0</v>
      </c>
      <c r="E11" s="9">
        <v>0</v>
      </c>
      <c r="F11" s="9">
        <v>0</v>
      </c>
      <c r="G11" s="28">
        <f>SUM(C11:F11)</f>
        <v>0</v>
      </c>
      <c r="H11" s="9">
        <v>0</v>
      </c>
      <c r="I11" s="19"/>
    </row>
    <row r="12" spans="1:10" x14ac:dyDescent="0.2">
      <c r="A12" s="1"/>
      <c r="B12" s="20" t="s">
        <v>2</v>
      </c>
      <c r="C12" s="9">
        <v>0</v>
      </c>
      <c r="D12" s="9">
        <v>0</v>
      </c>
      <c r="E12" s="9">
        <v>0</v>
      </c>
      <c r="F12" s="9">
        <v>0</v>
      </c>
      <c r="G12" s="28">
        <f t="shared" ref="G12:G19" si="2">SUM(C12:F12)</f>
        <v>0</v>
      </c>
      <c r="H12" s="9">
        <v>0</v>
      </c>
      <c r="I12" s="19"/>
    </row>
    <row r="13" spans="1:10" x14ac:dyDescent="0.2">
      <c r="A13" s="1"/>
      <c r="B13" s="20" t="s">
        <v>9</v>
      </c>
      <c r="C13" s="9">
        <v>0</v>
      </c>
      <c r="D13" s="9">
        <v>0</v>
      </c>
      <c r="E13" s="9">
        <v>0</v>
      </c>
      <c r="F13" s="9">
        <v>0</v>
      </c>
      <c r="G13" s="28">
        <f t="shared" si="2"/>
        <v>0</v>
      </c>
      <c r="H13" s="9">
        <v>0</v>
      </c>
      <c r="I13" s="19"/>
    </row>
    <row r="14" spans="1:10" x14ac:dyDescent="0.2">
      <c r="A14" s="1"/>
      <c r="B14" s="20" t="s">
        <v>1</v>
      </c>
      <c r="C14" s="9">
        <v>0</v>
      </c>
      <c r="D14" s="9">
        <v>0</v>
      </c>
      <c r="E14" s="9">
        <v>0</v>
      </c>
      <c r="F14" s="9">
        <v>0</v>
      </c>
      <c r="G14" s="28">
        <f t="shared" si="2"/>
        <v>0</v>
      </c>
      <c r="H14" s="9">
        <v>0</v>
      </c>
      <c r="I14" s="19"/>
    </row>
    <row r="15" spans="1:10" x14ac:dyDescent="0.2">
      <c r="A15" s="1"/>
      <c r="B15" s="20" t="s">
        <v>31</v>
      </c>
      <c r="C15" s="9">
        <v>0</v>
      </c>
      <c r="D15" s="9">
        <v>0</v>
      </c>
      <c r="E15" s="9">
        <v>0</v>
      </c>
      <c r="F15" s="9">
        <v>0</v>
      </c>
      <c r="G15" s="28">
        <f t="shared" si="2"/>
        <v>0</v>
      </c>
      <c r="H15" s="9">
        <v>0</v>
      </c>
      <c r="I15" s="19"/>
    </row>
    <row r="16" spans="1:10" x14ac:dyDescent="0.2">
      <c r="A16" s="1"/>
      <c r="B16" s="21" t="s">
        <v>33</v>
      </c>
      <c r="C16" s="23"/>
      <c r="D16" s="23"/>
      <c r="E16" s="23"/>
      <c r="F16" s="23"/>
      <c r="G16" s="23"/>
      <c r="H16" s="23"/>
      <c r="I16" s="25"/>
    </row>
    <row r="17" spans="1:10" x14ac:dyDescent="0.2">
      <c r="A17" s="1"/>
      <c r="B17" s="20" t="s">
        <v>15</v>
      </c>
      <c r="C17" s="9">
        <v>0</v>
      </c>
      <c r="D17" s="9">
        <v>0</v>
      </c>
      <c r="E17" s="9">
        <v>0</v>
      </c>
      <c r="F17" s="9">
        <v>0</v>
      </c>
      <c r="G17" s="28">
        <f t="shared" si="2"/>
        <v>0</v>
      </c>
      <c r="H17" s="9">
        <v>0</v>
      </c>
      <c r="I17" s="19"/>
    </row>
    <row r="18" spans="1:10" x14ac:dyDescent="0.2">
      <c r="A18" s="1"/>
      <c r="B18" s="20" t="s">
        <v>13</v>
      </c>
      <c r="C18" s="9">
        <v>0</v>
      </c>
      <c r="D18" s="9">
        <v>0</v>
      </c>
      <c r="E18" s="9">
        <v>0</v>
      </c>
      <c r="F18" s="9">
        <v>0</v>
      </c>
      <c r="G18" s="28">
        <f t="shared" si="2"/>
        <v>0</v>
      </c>
      <c r="H18" s="9">
        <v>0</v>
      </c>
      <c r="I18" s="19" t="s">
        <v>55</v>
      </c>
      <c r="J18" s="9"/>
    </row>
    <row r="19" spans="1:10" x14ac:dyDescent="0.2">
      <c r="A19" s="1"/>
      <c r="B19" s="20" t="s">
        <v>14</v>
      </c>
      <c r="C19" s="9">
        <v>0</v>
      </c>
      <c r="D19" s="9">
        <v>0</v>
      </c>
      <c r="E19" s="9">
        <v>0</v>
      </c>
      <c r="F19" s="9">
        <v>0</v>
      </c>
      <c r="G19" s="28">
        <f t="shared" si="2"/>
        <v>0</v>
      </c>
      <c r="H19" s="9">
        <v>0</v>
      </c>
      <c r="I19" s="19" t="s">
        <v>53</v>
      </c>
      <c r="J19" s="9"/>
    </row>
    <row r="20" spans="1:10" ht="8" customHeight="1" x14ac:dyDescent="0.2">
      <c r="A20" s="1"/>
      <c r="B20" s="7"/>
      <c r="C20" s="9"/>
      <c r="D20" s="9"/>
      <c r="E20" s="9"/>
      <c r="F20" s="9"/>
      <c r="G20" s="9"/>
      <c r="H20" s="9"/>
      <c r="J20" s="9"/>
    </row>
    <row r="21" spans="1:10" x14ac:dyDescent="0.2">
      <c r="A21" s="1"/>
      <c r="B21" s="1" t="s">
        <v>28</v>
      </c>
      <c r="C21" s="15">
        <f t="shared" ref="C21:H21" si="3">SUM(C7:C19)</f>
        <v>18975</v>
      </c>
      <c r="D21" s="15">
        <f t="shared" si="3"/>
        <v>18975</v>
      </c>
      <c r="E21" s="15">
        <f t="shared" si="3"/>
        <v>18975</v>
      </c>
      <c r="F21" s="15">
        <f t="shared" si="3"/>
        <v>21018</v>
      </c>
      <c r="G21" s="15">
        <f t="shared" si="3"/>
        <v>77943</v>
      </c>
      <c r="H21" s="15">
        <f t="shared" si="3"/>
        <v>77943.181818181823</v>
      </c>
    </row>
    <row r="22" spans="1:10" x14ac:dyDescent="0.2">
      <c r="A22" s="1"/>
      <c r="B22" s="1"/>
      <c r="C22" s="12"/>
      <c r="D22" s="12"/>
      <c r="E22" s="12"/>
      <c r="F22" s="12"/>
      <c r="G22" s="12"/>
      <c r="H22" s="12"/>
      <c r="J22" s="9"/>
    </row>
    <row r="23" spans="1:10" x14ac:dyDescent="0.2">
      <c r="A23" s="1"/>
      <c r="B23" s="1" t="s">
        <v>29</v>
      </c>
      <c r="C23" s="13"/>
      <c r="D23" s="13"/>
      <c r="E23" s="13"/>
      <c r="F23" s="13"/>
      <c r="G23" s="13"/>
      <c r="H23" s="13"/>
      <c r="J23" s="9"/>
    </row>
    <row r="24" spans="1:10" x14ac:dyDescent="0.2">
      <c r="A24" s="1"/>
      <c r="B24" s="26" t="s">
        <v>63</v>
      </c>
      <c r="C24" s="24"/>
      <c r="D24" s="24"/>
      <c r="E24" s="24"/>
      <c r="F24" s="24"/>
      <c r="G24" s="24"/>
      <c r="H24" s="24"/>
      <c r="I24" s="25"/>
      <c r="J24" s="9"/>
    </row>
    <row r="25" spans="1:10" x14ac:dyDescent="0.2">
      <c r="A25" s="1"/>
      <c r="B25" s="7" t="s">
        <v>17</v>
      </c>
      <c r="C25" s="36">
        <f>(H25/5)*3</f>
        <v>18270</v>
      </c>
      <c r="D25" s="36">
        <v>0</v>
      </c>
      <c r="E25" s="36">
        <v>0</v>
      </c>
      <c r="F25" s="36">
        <f>6090*2</f>
        <v>12180</v>
      </c>
      <c r="G25" s="28">
        <f t="shared" ref="G25:G46" si="4">SUM(C25:F25)</f>
        <v>30450</v>
      </c>
      <c r="H25" s="9">
        <f>29000*1.05</f>
        <v>30450</v>
      </c>
      <c r="I25" s="19" t="s">
        <v>65</v>
      </c>
      <c r="J25" s="9"/>
    </row>
    <row r="26" spans="1:10" x14ac:dyDescent="0.2">
      <c r="A26" s="1"/>
      <c r="B26" s="32" t="s">
        <v>18</v>
      </c>
      <c r="C26" s="36">
        <f>(H26/5)*3</f>
        <v>2700</v>
      </c>
      <c r="D26" s="36">
        <v>0</v>
      </c>
      <c r="E26" s="36">
        <v>0</v>
      </c>
      <c r="F26" s="36">
        <v>1800</v>
      </c>
      <c r="G26" s="28">
        <f t="shared" si="4"/>
        <v>4500</v>
      </c>
      <c r="H26" s="9">
        <v>4500</v>
      </c>
      <c r="I26" s="19" t="s">
        <v>66</v>
      </c>
      <c r="J26" s="9"/>
    </row>
    <row r="27" spans="1:10" x14ac:dyDescent="0.2">
      <c r="A27" s="1"/>
      <c r="B27" s="7" t="s">
        <v>19</v>
      </c>
      <c r="C27" s="36">
        <v>0</v>
      </c>
      <c r="D27" s="36">
        <v>0</v>
      </c>
      <c r="E27" s="36">
        <v>0</v>
      </c>
      <c r="F27" s="36">
        <v>4300</v>
      </c>
      <c r="G27" s="28">
        <f t="shared" si="4"/>
        <v>4300</v>
      </c>
      <c r="H27" s="9">
        <f>6900-H35</f>
        <v>4300</v>
      </c>
      <c r="I27" s="19" t="s">
        <v>75</v>
      </c>
    </row>
    <row r="28" spans="1:10" x14ac:dyDescent="0.2">
      <c r="A28" s="1"/>
      <c r="B28" s="7" t="s">
        <v>59</v>
      </c>
      <c r="C28" s="36">
        <v>0</v>
      </c>
      <c r="D28" s="36">
        <v>0</v>
      </c>
      <c r="E28" s="36">
        <v>0</v>
      </c>
      <c r="F28" s="36">
        <v>0</v>
      </c>
      <c r="G28" s="28">
        <f t="shared" si="4"/>
        <v>0</v>
      </c>
      <c r="H28" s="9">
        <v>0</v>
      </c>
      <c r="I28" s="19"/>
    </row>
    <row r="29" spans="1:10" x14ac:dyDescent="0.2">
      <c r="A29" s="1"/>
      <c r="B29" s="7" t="s">
        <v>60</v>
      </c>
      <c r="C29" s="36">
        <v>0</v>
      </c>
      <c r="D29" s="36">
        <v>10000</v>
      </c>
      <c r="E29" s="36">
        <v>0</v>
      </c>
      <c r="F29" s="36">
        <v>0</v>
      </c>
      <c r="G29" s="28">
        <f t="shared" si="4"/>
        <v>10000</v>
      </c>
      <c r="H29" s="9">
        <v>10000</v>
      </c>
      <c r="I29" s="27" t="s">
        <v>68</v>
      </c>
    </row>
    <row r="30" spans="1:10" x14ac:dyDescent="0.2">
      <c r="A30" s="1"/>
      <c r="B30" s="7" t="s">
        <v>61</v>
      </c>
      <c r="C30" s="36">
        <v>0</v>
      </c>
      <c r="D30" s="36">
        <v>1000</v>
      </c>
      <c r="E30" s="36">
        <v>0</v>
      </c>
      <c r="F30" s="36">
        <v>0</v>
      </c>
      <c r="G30" s="28">
        <f t="shared" si="4"/>
        <v>1000</v>
      </c>
      <c r="H30" s="9">
        <v>1000</v>
      </c>
      <c r="I30" s="19" t="s">
        <v>67</v>
      </c>
    </row>
    <row r="31" spans="1:10" x14ac:dyDescent="0.2">
      <c r="A31" s="1"/>
      <c r="B31" s="7" t="s">
        <v>50</v>
      </c>
      <c r="C31" s="36">
        <v>0</v>
      </c>
      <c r="D31" s="36">
        <v>1000</v>
      </c>
      <c r="E31" s="36">
        <v>0</v>
      </c>
      <c r="F31" s="36">
        <v>0</v>
      </c>
      <c r="G31" s="28">
        <f t="shared" si="4"/>
        <v>1000</v>
      </c>
      <c r="H31" s="9">
        <v>1000</v>
      </c>
      <c r="I31" s="19" t="s">
        <v>66</v>
      </c>
    </row>
    <row r="32" spans="1:10" x14ac:dyDescent="0.2">
      <c r="A32" s="1"/>
      <c r="B32" s="7" t="s">
        <v>20</v>
      </c>
      <c r="C32" s="36">
        <v>250</v>
      </c>
      <c r="D32" s="36">
        <v>250</v>
      </c>
      <c r="E32" s="36">
        <v>250</v>
      </c>
      <c r="F32" s="36">
        <v>250</v>
      </c>
      <c r="G32" s="28">
        <f t="shared" si="4"/>
        <v>1000</v>
      </c>
      <c r="H32" s="9">
        <v>1000</v>
      </c>
      <c r="I32" s="19" t="s">
        <v>66</v>
      </c>
    </row>
    <row r="33" spans="1:10" x14ac:dyDescent="0.2">
      <c r="A33" s="1"/>
      <c r="B33" s="7" t="s">
        <v>46</v>
      </c>
      <c r="C33" s="36">
        <v>45</v>
      </c>
      <c r="D33" s="36">
        <v>45</v>
      </c>
      <c r="E33" s="36">
        <v>45</v>
      </c>
      <c r="F33" s="36">
        <v>45</v>
      </c>
      <c r="G33" s="28">
        <f t="shared" si="4"/>
        <v>180</v>
      </c>
      <c r="H33" s="9">
        <v>180</v>
      </c>
      <c r="I33" s="19" t="s">
        <v>66</v>
      </c>
    </row>
    <row r="34" spans="1:10" x14ac:dyDescent="0.2">
      <c r="A34" s="1"/>
      <c r="B34" s="7" t="s">
        <v>64</v>
      </c>
      <c r="C34" s="9">
        <v>0</v>
      </c>
      <c r="D34" s="36">
        <v>500</v>
      </c>
      <c r="E34" s="9">
        <v>0</v>
      </c>
      <c r="F34" s="9">
        <v>0</v>
      </c>
      <c r="G34" s="28">
        <f t="shared" si="4"/>
        <v>500</v>
      </c>
      <c r="H34" s="9">
        <v>500</v>
      </c>
      <c r="I34" s="19" t="s">
        <v>67</v>
      </c>
    </row>
    <row r="35" spans="1:10" x14ac:dyDescent="0.2">
      <c r="A35" s="1"/>
      <c r="B35" s="7" t="s">
        <v>62</v>
      </c>
      <c r="C35" s="36">
        <v>650</v>
      </c>
      <c r="D35" s="36">
        <v>650</v>
      </c>
      <c r="E35" s="36">
        <v>650</v>
      </c>
      <c r="F35" s="36">
        <v>650</v>
      </c>
      <c r="G35" s="28">
        <f t="shared" si="4"/>
        <v>2600</v>
      </c>
      <c r="H35" s="9">
        <f>100*26</f>
        <v>2600</v>
      </c>
      <c r="I35" s="19" t="s">
        <v>69</v>
      </c>
    </row>
    <row r="36" spans="1:10" x14ac:dyDescent="0.2">
      <c r="A36" s="1"/>
      <c r="B36" s="26" t="s">
        <v>32</v>
      </c>
      <c r="C36" s="24"/>
      <c r="D36" s="24"/>
      <c r="E36" s="24"/>
      <c r="F36" s="24"/>
      <c r="G36" s="24"/>
      <c r="H36" s="24"/>
      <c r="I36" s="25"/>
      <c r="J36" s="9"/>
    </row>
    <row r="37" spans="1:10" x14ac:dyDescent="0.2">
      <c r="A37" s="1"/>
      <c r="B37" s="7" t="s">
        <v>51</v>
      </c>
      <c r="C37" s="36">
        <f>975*3</f>
        <v>2925</v>
      </c>
      <c r="D37" s="36">
        <f>975+(975*1.03*2)</f>
        <v>2983.5</v>
      </c>
      <c r="E37" s="36">
        <f>975*1.03*3</f>
        <v>3012.75</v>
      </c>
      <c r="F37" s="36">
        <f>975*1.03*3</f>
        <v>3012.75</v>
      </c>
      <c r="G37" s="28">
        <f t="shared" si="4"/>
        <v>11934</v>
      </c>
      <c r="H37" s="9">
        <f>(975*4)+(8*975*1.03)</f>
        <v>11934</v>
      </c>
      <c r="I37" s="19" t="s">
        <v>70</v>
      </c>
    </row>
    <row r="38" spans="1:10" x14ac:dyDescent="0.2">
      <c r="A38" s="1"/>
      <c r="B38" s="7" t="s">
        <v>7</v>
      </c>
      <c r="C38" s="36">
        <v>625</v>
      </c>
      <c r="D38" s="36">
        <v>625</v>
      </c>
      <c r="E38" s="36">
        <v>625</v>
      </c>
      <c r="F38" s="36">
        <v>625</v>
      </c>
      <c r="G38" s="28">
        <f t="shared" si="4"/>
        <v>2500</v>
      </c>
      <c r="H38" s="9">
        <v>2500</v>
      </c>
      <c r="I38" s="19" t="s">
        <v>49</v>
      </c>
    </row>
    <row r="39" spans="1:10" x14ac:dyDescent="0.2">
      <c r="A39" s="1"/>
      <c r="B39" s="7" t="s">
        <v>8</v>
      </c>
      <c r="C39" s="36">
        <v>200</v>
      </c>
      <c r="D39" s="9">
        <v>0</v>
      </c>
      <c r="E39" s="9">
        <v>0</v>
      </c>
      <c r="F39" s="9">
        <v>0</v>
      </c>
      <c r="G39" s="9">
        <f t="shared" si="4"/>
        <v>200</v>
      </c>
      <c r="H39" s="9">
        <v>200</v>
      </c>
      <c r="I39" s="19" t="s">
        <v>71</v>
      </c>
    </row>
    <row r="40" spans="1:10" x14ac:dyDescent="0.2">
      <c r="A40" s="1"/>
      <c r="B40" s="7" t="s">
        <v>6</v>
      </c>
      <c r="C40" s="9">
        <v>0</v>
      </c>
      <c r="D40" s="9">
        <v>0</v>
      </c>
      <c r="E40" s="9">
        <v>0</v>
      </c>
      <c r="F40" s="9">
        <v>0</v>
      </c>
      <c r="G40" s="9">
        <f t="shared" si="4"/>
        <v>0</v>
      </c>
      <c r="H40" s="9">
        <v>0</v>
      </c>
    </row>
    <row r="41" spans="1:10" x14ac:dyDescent="0.2">
      <c r="A41" s="1"/>
      <c r="B41" s="7" t="s">
        <v>21</v>
      </c>
      <c r="C41" s="9">
        <v>0</v>
      </c>
      <c r="D41" s="9">
        <v>0</v>
      </c>
      <c r="E41" s="9">
        <v>0</v>
      </c>
      <c r="F41" s="9">
        <v>0</v>
      </c>
      <c r="G41" s="9">
        <f t="shared" si="4"/>
        <v>0</v>
      </c>
      <c r="H41" s="9">
        <v>0</v>
      </c>
      <c r="I41" s="19" t="s">
        <v>54</v>
      </c>
    </row>
    <row r="42" spans="1:10" x14ac:dyDescent="0.2">
      <c r="A42" s="1"/>
      <c r="B42" s="26" t="s">
        <v>24</v>
      </c>
      <c r="C42" s="24"/>
      <c r="D42" s="24"/>
      <c r="E42" s="24"/>
      <c r="F42" s="24"/>
      <c r="G42" s="24"/>
      <c r="H42" s="24"/>
      <c r="I42" s="25"/>
      <c r="J42" s="9"/>
    </row>
    <row r="43" spans="1:10" x14ac:dyDescent="0.2">
      <c r="A43" s="1"/>
      <c r="B43" s="7" t="s">
        <v>0</v>
      </c>
      <c r="C43" s="36">
        <v>2200</v>
      </c>
      <c r="D43" s="36">
        <v>0</v>
      </c>
      <c r="E43" s="9">
        <v>0</v>
      </c>
      <c r="F43" s="9">
        <v>0</v>
      </c>
      <c r="G43" s="9">
        <f t="shared" si="4"/>
        <v>2200</v>
      </c>
      <c r="H43" s="9">
        <v>2200</v>
      </c>
      <c r="I43" s="19" t="s">
        <v>66</v>
      </c>
    </row>
    <row r="44" spans="1:10" x14ac:dyDescent="0.2">
      <c r="A44" s="1"/>
      <c r="B44" s="7" t="s">
        <v>24</v>
      </c>
      <c r="C44" s="36">
        <f>250/4</f>
        <v>62.5</v>
      </c>
      <c r="D44" s="36">
        <f>250/4</f>
        <v>62.5</v>
      </c>
      <c r="E44" s="36">
        <f>250/4</f>
        <v>62.5</v>
      </c>
      <c r="F44" s="36">
        <f>250/4</f>
        <v>62.5</v>
      </c>
      <c r="G44" s="9">
        <f t="shared" si="4"/>
        <v>250</v>
      </c>
      <c r="H44" s="9">
        <v>250</v>
      </c>
      <c r="I44" s="19" t="s">
        <v>72</v>
      </c>
    </row>
    <row r="45" spans="1:10" x14ac:dyDescent="0.2">
      <c r="A45" s="1"/>
      <c r="B45" s="7" t="s">
        <v>44</v>
      </c>
      <c r="C45" s="9">
        <v>0</v>
      </c>
      <c r="D45" s="9">
        <v>0</v>
      </c>
      <c r="E45" s="9">
        <v>0</v>
      </c>
      <c r="F45" s="9">
        <v>0</v>
      </c>
      <c r="G45" s="9">
        <f t="shared" si="4"/>
        <v>0</v>
      </c>
      <c r="H45" s="9">
        <v>0</v>
      </c>
      <c r="I45" s="19" t="s">
        <v>52</v>
      </c>
    </row>
    <row r="46" spans="1:10" x14ac:dyDescent="0.2">
      <c r="A46" s="1"/>
      <c r="B46" s="7" t="s">
        <v>22</v>
      </c>
      <c r="C46" s="9">
        <v>170</v>
      </c>
      <c r="D46" s="9">
        <v>0</v>
      </c>
      <c r="E46" s="9">
        <v>0</v>
      </c>
      <c r="F46" s="9">
        <v>0</v>
      </c>
      <c r="G46" s="9">
        <f t="shared" si="4"/>
        <v>170</v>
      </c>
      <c r="H46" s="9">
        <v>170</v>
      </c>
      <c r="I46" s="19" t="s">
        <v>73</v>
      </c>
    </row>
    <row r="47" spans="1:10" ht="8" customHeight="1" x14ac:dyDescent="0.2">
      <c r="A47" s="1"/>
      <c r="B47" s="7"/>
      <c r="C47" s="9"/>
      <c r="D47" s="9"/>
      <c r="E47" s="9"/>
      <c r="F47" s="9"/>
      <c r="G47" s="9"/>
      <c r="H47" s="9"/>
      <c r="J47" s="9"/>
    </row>
    <row r="48" spans="1:10" x14ac:dyDescent="0.2">
      <c r="A48" s="1"/>
      <c r="B48" s="1" t="s">
        <v>40</v>
      </c>
      <c r="C48" s="15">
        <f t="shared" ref="C48:H48" si="5">SUM(C24:C47)</f>
        <v>28097.5</v>
      </c>
      <c r="D48" s="15">
        <f t="shared" si="5"/>
        <v>17116</v>
      </c>
      <c r="E48" s="15">
        <f t="shared" si="5"/>
        <v>4645.25</v>
      </c>
      <c r="F48" s="15">
        <f t="shared" si="5"/>
        <v>22925.25</v>
      </c>
      <c r="G48" s="15">
        <f t="shared" si="5"/>
        <v>72784</v>
      </c>
      <c r="H48" s="15">
        <f t="shared" si="5"/>
        <v>72784</v>
      </c>
    </row>
    <row r="49" spans="1:10" ht="8" customHeight="1" thickBot="1" x14ac:dyDescent="0.25">
      <c r="A49" s="1"/>
      <c r="B49" s="1"/>
      <c r="C49" s="11"/>
      <c r="D49" s="11"/>
      <c r="E49" s="11"/>
      <c r="F49" s="11"/>
      <c r="G49" s="11"/>
      <c r="H49" s="11"/>
    </row>
    <row r="50" spans="1:10" ht="17" thickBot="1" x14ac:dyDescent="0.25">
      <c r="A50" s="1"/>
      <c r="B50" s="1" t="s">
        <v>41</v>
      </c>
      <c r="C50" s="10">
        <f t="shared" ref="C50:H50" si="6">C21-C48</f>
        <v>-9122.5</v>
      </c>
      <c r="D50" s="10">
        <f t="shared" si="6"/>
        <v>1859</v>
      </c>
      <c r="E50" s="10">
        <f t="shared" si="6"/>
        <v>14329.75</v>
      </c>
      <c r="F50" s="10">
        <f t="shared" si="6"/>
        <v>-1907.25</v>
      </c>
      <c r="G50" s="10">
        <f t="shared" si="6"/>
        <v>5159</v>
      </c>
      <c r="H50" s="10">
        <f t="shared" si="6"/>
        <v>5159.1818181818235</v>
      </c>
      <c r="J50" s="9"/>
    </row>
    <row r="51" spans="1:10" ht="8" customHeight="1" x14ac:dyDescent="0.2">
      <c r="A51" s="1"/>
      <c r="B51" s="1"/>
      <c r="C51" s="16"/>
      <c r="D51" s="16"/>
      <c r="E51" s="16"/>
      <c r="F51" s="16"/>
      <c r="G51" s="16"/>
      <c r="H51" s="16"/>
    </row>
    <row r="52" spans="1:10" x14ac:dyDescent="0.2">
      <c r="B52" s="3" t="s">
        <v>25</v>
      </c>
      <c r="C52" s="8">
        <v>0</v>
      </c>
      <c r="D52" s="8">
        <v>0</v>
      </c>
      <c r="E52" s="8">
        <v>0</v>
      </c>
      <c r="F52" s="8">
        <f>-G50</f>
        <v>-5159</v>
      </c>
      <c r="G52" s="9">
        <f t="shared" ref="G52" si="7">SUM(C52:F52)</f>
        <v>-5159</v>
      </c>
      <c r="H52" s="8">
        <f>-H50</f>
        <v>-5159.1818181818235</v>
      </c>
      <c r="I52" s="19" t="s">
        <v>76</v>
      </c>
    </row>
    <row r="53" spans="1:10" x14ac:dyDescent="0.2">
      <c r="B53" s="17"/>
    </row>
    <row r="54" spans="1:10" x14ac:dyDescent="0.2">
      <c r="A54" s="1"/>
      <c r="B54" s="1" t="s">
        <v>26</v>
      </c>
    </row>
    <row r="55" spans="1:10" x14ac:dyDescent="0.2">
      <c r="A55" s="1"/>
      <c r="B55" s="14" t="s">
        <v>25</v>
      </c>
      <c r="C55" s="9">
        <v>0</v>
      </c>
      <c r="D55" s="9">
        <v>0</v>
      </c>
      <c r="E55" s="9">
        <v>0</v>
      </c>
      <c r="F55" s="9">
        <f>-F52</f>
        <v>5159</v>
      </c>
      <c r="G55" s="9">
        <f t="shared" ref="G55:G56" si="8">SUM(C55:F55)</f>
        <v>5159</v>
      </c>
      <c r="H55" s="9">
        <f>-H52</f>
        <v>5159.1818181818235</v>
      </c>
    </row>
    <row r="56" spans="1:10" x14ac:dyDescent="0.2">
      <c r="B56" s="14" t="s">
        <v>35</v>
      </c>
      <c r="C56" s="9">
        <v>0</v>
      </c>
      <c r="D56" s="9">
        <v>0</v>
      </c>
      <c r="E56" s="9">
        <v>0</v>
      </c>
      <c r="F56" s="9">
        <v>0</v>
      </c>
      <c r="G56" s="9">
        <f t="shared" si="8"/>
        <v>0</v>
      </c>
      <c r="H56" s="9">
        <v>0</v>
      </c>
    </row>
    <row r="57" spans="1:10" ht="8" customHeight="1" x14ac:dyDescent="0.2">
      <c r="A57" s="1"/>
      <c r="B57" s="7"/>
      <c r="C57" s="9"/>
      <c r="D57" s="9"/>
      <c r="E57" s="9"/>
      <c r="F57" s="9"/>
      <c r="G57" s="9"/>
      <c r="H57" s="9"/>
      <c r="J57" s="9"/>
    </row>
    <row r="58" spans="1:10" x14ac:dyDescent="0.2">
      <c r="A58" s="1"/>
      <c r="B58" s="1" t="s">
        <v>36</v>
      </c>
      <c r="C58" s="15">
        <f t="shared" ref="C58:H58" si="9">SUM(C55:C56)</f>
        <v>0</v>
      </c>
      <c r="D58" s="15">
        <f t="shared" si="9"/>
        <v>0</v>
      </c>
      <c r="E58" s="15">
        <f t="shared" si="9"/>
        <v>0</v>
      </c>
      <c r="F58" s="15">
        <f t="shared" si="9"/>
        <v>5159</v>
      </c>
      <c r="G58" s="15">
        <f t="shared" si="9"/>
        <v>5159</v>
      </c>
      <c r="H58" s="15">
        <f t="shared" si="9"/>
        <v>5159.1818181818235</v>
      </c>
    </row>
    <row r="60" spans="1:10" x14ac:dyDescent="0.2">
      <c r="A60" s="1"/>
      <c r="B60" s="1" t="s">
        <v>37</v>
      </c>
    </row>
    <row r="61" spans="1:10" x14ac:dyDescent="0.2">
      <c r="A61" s="1"/>
      <c r="B61" s="14" t="s">
        <v>38</v>
      </c>
      <c r="C61" s="9">
        <v>0</v>
      </c>
      <c r="D61" s="9">
        <v>0</v>
      </c>
      <c r="E61" s="9">
        <v>0</v>
      </c>
      <c r="F61" s="9">
        <v>0</v>
      </c>
      <c r="G61" s="9">
        <f t="shared" ref="G61" si="10">SUM(C61:F61)</f>
        <v>0</v>
      </c>
      <c r="H61" s="9">
        <v>0</v>
      </c>
      <c r="I61" s="19"/>
    </row>
    <row r="62" spans="1:10" ht="8" customHeight="1" x14ac:dyDescent="0.2">
      <c r="A62" s="1"/>
      <c r="B62" s="7"/>
      <c r="C62" s="9"/>
      <c r="D62" s="9"/>
      <c r="E62" s="9"/>
      <c r="F62" s="9"/>
      <c r="G62" s="9"/>
      <c r="H62" s="9"/>
      <c r="J62" s="9"/>
    </row>
    <row r="63" spans="1:10" x14ac:dyDescent="0.2">
      <c r="A63" s="1"/>
      <c r="B63" s="1" t="s">
        <v>39</v>
      </c>
      <c r="C63" s="15">
        <f t="shared" ref="C63:H63" si="11">SUM(C61)</f>
        <v>0</v>
      </c>
      <c r="D63" s="15">
        <f t="shared" si="11"/>
        <v>0</v>
      </c>
      <c r="E63" s="15">
        <f t="shared" si="11"/>
        <v>0</v>
      </c>
      <c r="F63" s="15">
        <f t="shared" si="11"/>
        <v>0</v>
      </c>
      <c r="G63" s="15">
        <f t="shared" si="11"/>
        <v>0</v>
      </c>
      <c r="H63" s="15">
        <f t="shared" si="11"/>
        <v>0</v>
      </c>
    </row>
    <row r="64" spans="1:10" ht="8" customHeight="1" thickBot="1" x14ac:dyDescent="0.25">
      <c r="A64" s="1"/>
      <c r="B64" s="7"/>
      <c r="C64" s="9"/>
      <c r="D64" s="9"/>
      <c r="E64" s="9"/>
      <c r="F64" s="9"/>
      <c r="G64" s="9"/>
      <c r="H64" s="9"/>
      <c r="J64" s="9"/>
    </row>
    <row r="65" spans="1:10" ht="17" thickBot="1" x14ac:dyDescent="0.25">
      <c r="A65" s="1"/>
      <c r="B65" s="1" t="s">
        <v>42</v>
      </c>
      <c r="C65" s="10">
        <f t="shared" ref="C65:H65" si="12">C58-C63</f>
        <v>0</v>
      </c>
      <c r="D65" s="10">
        <f t="shared" si="12"/>
        <v>0</v>
      </c>
      <c r="E65" s="10">
        <f t="shared" si="12"/>
        <v>0</v>
      </c>
      <c r="F65" s="10">
        <f t="shared" si="12"/>
        <v>5159</v>
      </c>
      <c r="G65" s="10">
        <f t="shared" si="12"/>
        <v>5159</v>
      </c>
      <c r="H65" s="10">
        <f t="shared" si="12"/>
        <v>5159.1818181818235</v>
      </c>
      <c r="J65" s="9"/>
    </row>
    <row r="66" spans="1:10" ht="17" thickBot="1" x14ac:dyDescent="0.25"/>
    <row r="67" spans="1:10" ht="17" thickBot="1" x14ac:dyDescent="0.25">
      <c r="A67" s="1"/>
      <c r="B67" s="1" t="s">
        <v>43</v>
      </c>
      <c r="C67" s="10">
        <f t="shared" ref="C67:H67" si="13">C50+C52+C65</f>
        <v>-9122.5</v>
      </c>
      <c r="D67" s="10">
        <f t="shared" si="13"/>
        <v>1859</v>
      </c>
      <c r="E67" s="10">
        <f t="shared" si="13"/>
        <v>14329.75</v>
      </c>
      <c r="F67" s="10">
        <f t="shared" si="13"/>
        <v>-1907.25</v>
      </c>
      <c r="G67" s="10">
        <f t="shared" si="13"/>
        <v>5159</v>
      </c>
      <c r="H67" s="10">
        <f t="shared" si="13"/>
        <v>5159.1818181818235</v>
      </c>
      <c r="J67" s="9"/>
    </row>
  </sheetData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QBO View</vt:lpstr>
      <vt:lpstr>Budget!Print_Area</vt:lpstr>
      <vt:lpstr>'QBO 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Dickey</dc:creator>
  <cp:lastModifiedBy>Microsoft Office User</cp:lastModifiedBy>
  <cp:lastPrinted>2022-02-27T16:18:51Z</cp:lastPrinted>
  <dcterms:created xsi:type="dcterms:W3CDTF">2018-09-18T20:06:45Z</dcterms:created>
  <dcterms:modified xsi:type="dcterms:W3CDTF">2022-11-18T16:54:19Z</dcterms:modified>
</cp:coreProperties>
</file>